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66925"/>
  <mc:AlternateContent xmlns:mc="http://schemas.openxmlformats.org/markup-compatibility/2006">
    <mc:Choice Requires="x15">
      <x15ac:absPath xmlns:x15ac="http://schemas.microsoft.com/office/spreadsheetml/2010/11/ac" url="C:\Users\usuario\Desktop\Backup\Diana Cadavid\Alegra\Formatos en proceso\En proceso\"/>
    </mc:Choice>
  </mc:AlternateContent>
  <xr:revisionPtr revIDLastSave="0" documentId="13_ncr:1_{3C3E6AD5-C383-4940-A6BC-59753C6D3DC1}" xr6:coauthVersionLast="47" xr6:coauthVersionMax="47" xr10:uidLastSave="{00000000-0000-0000-0000-000000000000}"/>
  <bookViews>
    <workbookView xWindow="-110" yWindow="-110" windowWidth="19420" windowHeight="10300" xr2:uid="{052CBE60-EF8D-4AD2-9CD9-08E1C97E063B}"/>
  </bookViews>
  <sheets>
    <sheet name="Te damos la bienvenida a Alegra" sheetId="5" r:id="rId1"/>
    <sheet name="Explora Siempre Al Día" sheetId="6" r:id="rId2"/>
    <sheet name="Caso DRPN 2023 asalariados" sheetId="1" r:id="rId3"/>
    <sheet name="Contexto y normativa DRPN 2023" sheetId="4"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89" i="1" l="1"/>
  <c r="F190" i="1"/>
  <c r="F192" i="1"/>
  <c r="F166" i="1"/>
  <c r="F124" i="1"/>
  <c r="F123" i="1"/>
  <c r="F122" i="1"/>
  <c r="F98" i="1"/>
  <c r="F118" i="1"/>
  <c r="F117" i="1"/>
  <c r="F114" i="1"/>
  <c r="F113" i="1"/>
  <c r="F115" i="1"/>
  <c r="D75" i="1"/>
  <c r="D68" i="1"/>
  <c r="F59" i="1"/>
  <c r="E59" i="1"/>
  <c r="F58" i="1"/>
  <c r="F57" i="1"/>
  <c r="F230" i="1"/>
  <c r="F186" i="1"/>
  <c r="F197" i="1"/>
  <c r="F80" i="1" l="1"/>
  <c r="E80" i="1"/>
  <c r="F52" i="1"/>
  <c r="F178" i="1"/>
  <c r="F177" i="1"/>
  <c r="F172" i="1"/>
  <c r="F171" i="1"/>
  <c r="F165" i="1"/>
  <c r="F164" i="1"/>
  <c r="F163" i="1"/>
  <c r="F134" i="1"/>
  <c r="F135" i="1"/>
  <c r="F136" i="1"/>
  <c r="F130" i="1"/>
  <c r="F128" i="1"/>
  <c r="E109" i="1"/>
  <c r="F108" i="1"/>
  <c r="D109" i="1" s="1"/>
  <c r="F109" i="1" s="1"/>
  <c r="F104" i="1"/>
  <c r="F103" i="1"/>
  <c r="F102" i="1"/>
  <c r="F97" i="1"/>
  <c r="E92" i="1"/>
  <c r="F91" i="1"/>
  <c r="F88" i="1"/>
  <c r="F84" i="1"/>
  <c r="D74" i="1"/>
  <c r="D72" i="1"/>
  <c r="E60" i="1"/>
  <c r="F60" i="1"/>
  <c r="E52" i="1"/>
  <c r="D48" i="1"/>
  <c r="D32" i="1"/>
  <c r="F180" i="1"/>
  <c r="F179" i="1"/>
  <c r="E186" i="1"/>
  <c r="F137" i="1" l="1"/>
  <c r="D80" i="1"/>
  <c r="F36" i="1"/>
  <c r="F37" i="1"/>
  <c r="F38" i="1"/>
  <c r="F42" i="1" s="1"/>
  <c r="F40" i="1"/>
  <c r="F241" i="1"/>
  <c r="F227" i="1"/>
  <c r="B155" i="1" l="1"/>
  <c r="B156" i="1"/>
  <c r="B157" i="1"/>
  <c r="B158" i="1"/>
  <c r="B159" i="1"/>
  <c r="B154" i="1"/>
  <c r="E116" i="1" l="1"/>
  <c r="F92" i="1"/>
  <c r="E84" i="1"/>
  <c r="E98" i="1" l="1"/>
  <c r="E88" i="1"/>
  <c r="E38" i="1" l="1"/>
  <c r="E89" i="1"/>
  <c r="D93" i="1" s="1"/>
  <c r="E39" i="1" l="1"/>
  <c r="D46" i="1"/>
  <c r="F217" i="1" l="1"/>
  <c r="F210" i="1"/>
  <c r="F205" i="1"/>
  <c r="E90" i="1"/>
  <c r="F90" i="1" s="1"/>
  <c r="F64" i="1"/>
  <c r="F63" i="1"/>
  <c r="F62" i="1"/>
  <c r="F61" i="1"/>
  <c r="E53" i="1"/>
  <c r="B60" i="1" l="1"/>
  <c r="B59" i="1"/>
  <c r="F66" i="1" l="1"/>
  <c r="F41" i="1" l="1"/>
  <c r="D118" i="1" l="1"/>
  <c r="D47" i="1" l="1"/>
  <c r="E115" i="1" l="1"/>
  <c r="F65" i="1" l="1"/>
  <c r="D73" i="1" l="1"/>
  <c r="E127" i="1" l="1"/>
  <c r="F127" i="1" s="1"/>
  <c r="E125" i="1"/>
  <c r="F125" i="1" s="1"/>
  <c r="F129" i="1" s="1"/>
  <c r="F141" i="1" l="1"/>
  <c r="E147" i="1" s="1"/>
  <c r="E148" i="1" s="1"/>
  <c r="I154" i="1" s="1"/>
  <c r="I158" i="1" l="1"/>
  <c r="I157" i="1"/>
  <c r="I155" i="1"/>
  <c r="I159" i="1"/>
  <c r="I156" i="1"/>
  <c r="F142" i="1"/>
  <c r="F143" i="1" s="1"/>
  <c r="F170" i="1" s="1"/>
  <c r="F173" i="1" s="1"/>
  <c r="F185" i="1" s="1"/>
  <c r="F229" i="1" l="1"/>
  <c r="F237" i="1" s="1"/>
  <c r="D258" i="1" s="1"/>
  <c r="F253" i="1"/>
  <c r="F254" i="1" s="1"/>
  <c r="D259" i="1" l="1"/>
  <c r="D260" i="1" s="1"/>
</calcChain>
</file>

<file path=xl/sharedStrings.xml><?xml version="1.0" encoding="utf-8"?>
<sst xmlns="http://schemas.openxmlformats.org/spreadsheetml/2006/main" count="499" uniqueCount="334">
  <si>
    <t>Crea tu cuenta</t>
  </si>
  <si>
    <t>Límites</t>
  </si>
  <si>
    <t>Pagos percibidos en el mes</t>
  </si>
  <si>
    <t>Comentario</t>
  </si>
  <si>
    <t>Rentas exentas</t>
  </si>
  <si>
    <t>Criterio</t>
  </si>
  <si>
    <t>Tarifa marginal</t>
  </si>
  <si>
    <t>&gt;0</t>
  </si>
  <si>
    <t>En adelante</t>
  </si>
  <si>
    <t>Resultado</t>
  </si>
  <si>
    <t>UVT adicional</t>
  </si>
  <si>
    <t>Aportes al fondo de solidaridad pensional</t>
  </si>
  <si>
    <t>Aportes voluntarios a fondos de pensiones obligatorias</t>
  </si>
  <si>
    <t>Aportes obligatorios al sistema de salud</t>
  </si>
  <si>
    <t>N/A</t>
  </si>
  <si>
    <t>Monto depurado</t>
  </si>
  <si>
    <t>Pagos por concepto de alimentación que superen las 41 UVT en el mes</t>
  </si>
  <si>
    <t>Aportes obligatorios a los fondos de pensiones y al fondo de solidaridad pensional</t>
  </si>
  <si>
    <t>Recursos asignados a proyectos calificados como de carácter científico, tecnológico o de innovación</t>
  </si>
  <si>
    <t>Deducciones</t>
  </si>
  <si>
    <t>Pago de intereses de vivienda o costos financieros asociados al leasing habitacional</t>
  </si>
  <si>
    <t>Aportes voluntarios al fondo de pensiones voluntarias</t>
  </si>
  <si>
    <t>Pago a entidades prestadoras de servicios de salud prepagada, seguros de salud o planes complementarios</t>
  </si>
  <si>
    <t>Ingresos no constitutivos de renta ni ganancia ocasional</t>
  </si>
  <si>
    <t>Dependientes económicos</t>
  </si>
  <si>
    <t>Intereses de vivienda o costos financieros por leasing habitacional</t>
  </si>
  <si>
    <r>
      <t>Los recursos que reciba el beneficiario del pago para ser destinados al desarrollo de proyectos calificados como de carácter científico, tecnológico o de innovación</t>
    </r>
    <r>
      <rPr>
        <b/>
        <sz val="12"/>
        <color theme="1"/>
        <rFont val="Arial"/>
        <family val="2"/>
      </rPr>
      <t xml:space="preserve"> son ingresos no constitutivos de renta o ganancia ocasional</t>
    </r>
    <r>
      <rPr>
        <sz val="12"/>
        <color theme="1"/>
        <rFont val="Arial"/>
        <family val="2"/>
      </rPr>
      <t>. Igual tratamiento recibe la remuneración por ejecutar labores de carácter científico, tecnológico o de innovación (ver artículo 57-2 del ET).</t>
    </r>
  </si>
  <si>
    <r>
      <rPr>
        <b/>
        <sz val="12"/>
        <color theme="1"/>
        <rFont val="Arial"/>
        <family val="2"/>
      </rPr>
      <t>Nota:</t>
    </r>
    <r>
      <rPr>
        <sz val="12"/>
        <color theme="1"/>
        <rFont val="Arial"/>
        <family val="2"/>
      </rPr>
      <t xml:space="preserve"> estas notas representan la interpretación normativa que realizamos desde Alegra a título de guía, no obstante, como contador o asesor tributario debes realizar la revisión de las particularidades a las que haya lugar para el caso que asesoras o las acciones que ya haya en curso con la Dian, en Alegra no somos responsables de las interpretaciones, operaciones o información derivada del uso de esta herramienta.  </t>
    </r>
  </si>
  <si>
    <t>Valores recibidos por gastos de entierro del trabajador</t>
  </si>
  <si>
    <t>Asociados a las Fuerzas Militares y de la Policía Nacional.</t>
  </si>
  <si>
    <t>El exceso del salario básico percibido por los miembros de las Fuerzas Militares y de la Policía.</t>
  </si>
  <si>
    <t xml:space="preserve">Prima especial o prima de costo de vida </t>
  </si>
  <si>
    <t>Prima especial o prima de costo de vida</t>
  </si>
  <si>
    <t>Indemnizaciones por accidente de trabajo o enfermedad o que impliquen protección a la maternidad</t>
  </si>
  <si>
    <t>Los gastos de representación de los rectores y profesores de universidades públicas</t>
  </si>
  <si>
    <t>Aportes obligatorios a los fondos de pensiones obligatorias</t>
  </si>
  <si>
    <t>Total rentas exentas y deducciones sometidas al límite general</t>
  </si>
  <si>
    <t>Valor</t>
  </si>
  <si>
    <t>Excedente de rentas exentas que superan los límites</t>
  </si>
  <si>
    <t>Subtotal (ingresos netos menos rentas exentas y deducciones para aplicar la renta exenta del numeral 10 del artículo 206 del ET)</t>
  </si>
  <si>
    <t>Renta exenta 25 % del total de los pagos laborales</t>
  </si>
  <si>
    <t>Calendario tributario</t>
  </si>
  <si>
    <t>Renta exenta del numeral 10 del 206 del ET</t>
  </si>
  <si>
    <t>Rentas exentas del artículo 206 del ET (numerales 1 a 3 y 6 a 9)</t>
  </si>
  <si>
    <t>Total pagos percibidos</t>
  </si>
  <si>
    <t>50 % del salario</t>
  </si>
  <si>
    <t>50 % o 25 % del salario</t>
  </si>
  <si>
    <t>UVT 2023</t>
  </si>
  <si>
    <r>
      <rPr>
        <b/>
        <sz val="16"/>
        <color rgb="FFFFFFFF"/>
        <rFont val="Arial"/>
        <family val="2"/>
      </rPr>
      <t>CASILLA 32</t>
    </r>
    <r>
      <rPr>
        <b/>
        <sz val="12"/>
        <color rgb="FFFFFFFF"/>
        <rFont val="Arial"/>
        <family val="2"/>
      </rPr>
      <t xml:space="preserve">
Rentas de trabajo provenientes de una relación laboral</t>
    </r>
  </si>
  <si>
    <r>
      <rPr>
        <b/>
        <sz val="16"/>
        <color rgb="FFFFFFFF"/>
        <rFont val="Arial"/>
        <family val="2"/>
      </rPr>
      <t>CASILLA 33</t>
    </r>
    <r>
      <rPr>
        <b/>
        <sz val="12"/>
        <color rgb="FFFFFFFF"/>
        <rFont val="Arial"/>
        <family val="2"/>
      </rPr>
      <t xml:space="preserve">
Ingresos no constitutivos de rentas de trabajo </t>
    </r>
  </si>
  <si>
    <r>
      <t xml:space="preserve">Apoyos económicos para financiar programas educativos
</t>
    </r>
    <r>
      <rPr>
        <sz val="10"/>
        <color theme="1"/>
        <rFont val="Arial"/>
        <family val="2"/>
      </rPr>
      <t>(en el evento en que el apoyo económico sea otorgado en la relación laboral)</t>
    </r>
  </si>
  <si>
    <t>Total Casilla 34</t>
  </si>
  <si>
    <r>
      <rPr>
        <b/>
        <sz val="16"/>
        <color rgb="FFFFFFFF"/>
        <rFont val="Arial"/>
        <family val="2"/>
      </rPr>
      <t>CASILLA 34</t>
    </r>
    <r>
      <rPr>
        <b/>
        <sz val="12"/>
        <color rgb="FFFFFFFF"/>
        <rFont val="Arial"/>
        <family val="2"/>
      </rPr>
      <t xml:space="preserve">
Renta líquida de las rentas de trabajo </t>
    </r>
  </si>
  <si>
    <t>Declaración de renta de personas naturales asalariadas en 2023
Contexto y normativa</t>
  </si>
  <si>
    <t>Ingresos por comisiones</t>
  </si>
  <si>
    <t>Ingresos por horas extras y recargos</t>
  </si>
  <si>
    <t>Ingresos por vacaciones</t>
  </si>
  <si>
    <t>Otros ingresos originados de la relación laboral</t>
  </si>
  <si>
    <t xml:space="preserve">Ingresos por salarios </t>
  </si>
  <si>
    <t>Ingresos por prima legal y extralegal</t>
  </si>
  <si>
    <t>Ingresos por viáticos y gastos de representación</t>
  </si>
  <si>
    <t>Ingresos en especie</t>
  </si>
  <si>
    <t>Indemnizaciones por despido injustificado</t>
  </si>
  <si>
    <t>Auxilio de incapacidad o de maternidad</t>
  </si>
  <si>
    <t>Por rentas de trabajo obtenidas en países de la Comunidad Andina de Naciones</t>
  </si>
  <si>
    <r>
      <rPr>
        <b/>
        <sz val="16"/>
        <color rgb="FFFFFFFF"/>
        <rFont val="Arial"/>
        <family val="2"/>
      </rPr>
      <t>CASILLA 35</t>
    </r>
    <r>
      <rPr>
        <b/>
        <sz val="12"/>
        <color rgb="FFFFFFFF"/>
        <rFont val="Arial"/>
        <family val="2"/>
      </rPr>
      <t xml:space="preserve">
Rentas exentas de las rentas de trabajo - Aportes voluntarios AFC, FVP y/o AVC</t>
    </r>
  </si>
  <si>
    <r>
      <rPr>
        <b/>
        <sz val="16"/>
        <color rgb="FFFFFFFF"/>
        <rFont val="Arial"/>
        <family val="2"/>
      </rPr>
      <t>CASILLA 36</t>
    </r>
    <r>
      <rPr>
        <b/>
        <sz val="12"/>
        <color rgb="FFFFFFFF"/>
        <rFont val="Arial"/>
        <family val="2"/>
      </rPr>
      <t xml:space="preserve">
Rentas exentas de las rentas de trabajo - Otras rentas exentas de las rentas de trabajo</t>
    </r>
  </si>
  <si>
    <r>
      <rPr>
        <b/>
        <sz val="16"/>
        <color rgb="FFFFFFFF"/>
        <rFont val="Arial"/>
        <family val="2"/>
      </rPr>
      <t>CASILLA 37</t>
    </r>
    <r>
      <rPr>
        <b/>
        <sz val="12"/>
        <color rgb="FFFFFFFF"/>
        <rFont val="Arial"/>
        <family val="2"/>
      </rPr>
      <t xml:space="preserve">
Total rentas exentas de las rentas de trabajo</t>
    </r>
  </si>
  <si>
    <t>Total rentas exentas</t>
  </si>
  <si>
    <t>CASILLA 38
Deducciones imputables a las rentas de trabajo - Intereses de vivienda</t>
  </si>
  <si>
    <t>CASILLA 39
Deducciones imputables a las rentas de trabajo - Otras deducciones imputables</t>
  </si>
  <si>
    <t>Intereses sobre préstamos educativos con el Icetex</t>
  </si>
  <si>
    <t xml:space="preserve">50 % del gravamen a los movimientos financieros </t>
  </si>
  <si>
    <t>CASILLA 40
Total de deducciones imputables a las rentas de trabajo</t>
  </si>
  <si>
    <t>Total deducciones</t>
  </si>
  <si>
    <t>Límites de ingresos no gravados</t>
  </si>
  <si>
    <t xml:space="preserve">Este ingreso no constitutivo de renta no puede ser mayor al 25 % del ingreso por rentas de trabajo generado en el año y tampoco podrá superar el tope de 2.500 UVT al año. </t>
  </si>
  <si>
    <t>Rentas laborales provenientes de recursos asignados a proyectos calificados como de carácter científico, tecnológico o de innovación.</t>
  </si>
  <si>
    <t>Total ingresos no constitutivos de rentas de trabajo</t>
  </si>
  <si>
    <t>Límites por concepto</t>
  </si>
  <si>
    <t>Aportes voluntarios a fondos de pensiones obligatorias —FPO—.</t>
  </si>
  <si>
    <t>Aportes voluntarios al fondo de pensiones voluntarias —FPV—.</t>
  </si>
  <si>
    <t>Explora las fechas en las que debes presentar la declaración de renta del año gravable 2023.</t>
  </si>
  <si>
    <t>Los valores que exceden los límites permitidos no podrán restarse como deducción o renta exenta.</t>
  </si>
  <si>
    <t>Deducción por dependientes en la declaración de renta: ¿cómo funciona y cuáles son las novedades?</t>
  </si>
  <si>
    <t>Formulario 210 para año gravable 2023 fue prescrito por la Dian</t>
  </si>
  <si>
    <t>Introducción y alcance de la herramienta</t>
  </si>
  <si>
    <t>Si deseas conocer más sobre la determinación de la residencia fiscal de una persona natural y otros puntos clave, te invitamos a descargar la:</t>
  </si>
  <si>
    <t>Guía para la elaboración de la declaración de renta de personas naturales año gravable 2023</t>
  </si>
  <si>
    <t>Cesantías e intereses a las cesantías</t>
  </si>
  <si>
    <t>Salario promedio mensual</t>
  </si>
  <si>
    <t>Cesantías de 2016 y anteriores</t>
  </si>
  <si>
    <t>Incluir las cesantías e intereses de cesantías correspondientes al año 2017 y siguientes:
a) Consignadas al fondo de cesantías en 2023.
b) Pagadas al empleado.
c) Que se llevaron al pasivo del empleador en 2023 (empleados con cesantías bajo el régimen tradicional del Código Sustantivo del Trabajo —CST—).</t>
  </si>
  <si>
    <t>Incluir las cesantías que corresponden al año 2016 y anteriores:
a) que estaban reconocidas en los pasivos del contratante y que fueron retiradas o pagadas durante 2023 (empleados con cesantías bajo el régimen tradicional del Código Sustantivo del Trabajo —CST—). 
b) que fueron pagadas al empleado en 2023.</t>
  </si>
  <si>
    <t>Tratamiento de las cesantías e intereses de cesantías en la declaración de renta de una persona natural</t>
  </si>
  <si>
    <t>Auxilio, vales o bonos de alimentación</t>
  </si>
  <si>
    <t>Ingresar el valor aproximado de salario promedio mensual en 2023 que será la base para determinar los límites de rentas exentas por concepto de cesantías.</t>
  </si>
  <si>
    <t>Apoyos económicos</t>
  </si>
  <si>
    <t>Los apoyos económicos para financiar programas educativos que otorgan empleadores en la relación laboral y se consideran ingresos y van reportados en la subcédula de rentas de trabajo. 
Cuando se trata de apoyos educativos no reembolsables o condonados, otorgados por el Estado o financiados con recursos públicos, se consideran ingreso no gravado y van declarados en la subcédula de rentas no laborales sin importar la entidad que los entregue (ver artículo 46 del Estatuto Tributario y artículo 1.2.1.12.8 del Decreto 1625 de 2016).</t>
  </si>
  <si>
    <t>Se deben incluir todos los valores asociados a la relación laboral de acuerdo con el criterio que corresponda (excluyendo los reportados en celdas anteriores por concepto de cesantías y apoyos económicos).</t>
  </si>
  <si>
    <r>
      <t xml:space="preserve">Para el caso de asalariados/as, al empleador/ra le corresponde un 12 % del aporte a pensión y al trabajador un 4 % sobre el IBC, mientras que quien trabaja independiente asume toda la cotización.
Por otra parte, en cuanto al fondo de solidaridad pensional, se debe realizar un aporte a cargo del 1 % sobre el IBC cuando este supere los 4 smmlv ($4.640.000 en 2023) y en la medida en la que el IBC sea mayor, se deberán atender los rangos y porcentajes expuestos en el artículo 27 de la Ley 100 de 1993.
Para fines tributarios, de acuerdo con el primer inciso del artículo 55 del ET y el artículo 1.2.1.12.9 del Decreto 1625 de 2016, los aportes obligatorios que efectúen los trabajadores/as y afiliados a los fondos de pensiones </t>
    </r>
    <r>
      <rPr>
        <b/>
        <sz val="12"/>
        <color theme="1"/>
        <rFont val="Arial"/>
        <family val="2"/>
      </rPr>
      <t>serán considerados como un ingreso no constitutivo de renta ni de ganancia ocasional</t>
    </r>
    <r>
      <rPr>
        <sz val="12"/>
        <color theme="1"/>
        <rFont val="Arial"/>
        <family val="2"/>
      </rPr>
      <t>. Los aportes a cargo del empleador serán deducibles de su renta.</t>
    </r>
  </si>
  <si>
    <r>
      <t>Las cotizaciones voluntarias a los fondos de pensiones obligatorias</t>
    </r>
    <r>
      <rPr>
        <b/>
        <sz val="12"/>
        <color theme="1"/>
        <rFont val="Arial"/>
        <family val="2"/>
      </rPr>
      <t xml:space="preserve"> </t>
    </r>
    <r>
      <rPr>
        <sz val="12"/>
        <color theme="1"/>
        <rFont val="Arial"/>
        <family val="2"/>
      </rPr>
      <t xml:space="preserve">son un ingreso no constitutivo de renta ni de ganancia ocasional conforme al artículo 55 del ET. Este ingreso no constitutivo de renta </t>
    </r>
    <r>
      <rPr>
        <b/>
        <sz val="12"/>
        <color theme="1"/>
        <rFont val="Arial"/>
        <family val="2"/>
      </rPr>
      <t>no puede ser mayor al 25 % del ingreso por rentas de trabajo generado en 2023 y tampoco podrá superar el tope de 2.500 UVT ($106.030.000).</t>
    </r>
  </si>
  <si>
    <r>
      <t xml:space="preserve">Los aportes a salud para trabajadores/as dependientes, de acuerdo con el artículo 204 de la Ley 100 de 1993 corresponden a 8.5 % por parte del empleador y 4 % por parte del empleado sobre el ingreso base de cotización —IBC—, para el caso de trabajadores/as independientes este aporte es asumido en un 100 %.
Dichos aportes, en materia tributaria, conforme al artículo 56 del ET </t>
    </r>
    <r>
      <rPr>
        <b/>
        <sz val="12"/>
        <color theme="1"/>
        <rFont val="Arial"/>
        <family val="2"/>
      </rPr>
      <t>serán considerados como un ingreso no constitutivo de renta ni de ganancia ocasional.</t>
    </r>
  </si>
  <si>
    <r>
      <t xml:space="preserve">De la lectura del artículo 387-1 del ET se concluye que los pagos que se efectúen por concepto de la alimentación del trabajador/a o su familia son deducibles para el empleador/a y no constituyen ingreso para el trabajador/a, sino para quien suministra los alimentos o presta el servicio de restaurante siempre y cuando el empleado no perciba más de 310 UVT como ingreso mensual ($13.147.720).
Cuando los pagos en el mes por concepto de alimentación en beneficio del trabajador/a o de su familia excedan la suma de 41 UVT ($1.739.000), </t>
    </r>
    <r>
      <rPr>
        <b/>
        <sz val="12"/>
        <color theme="1"/>
        <rFont val="Arial"/>
        <family val="2"/>
      </rPr>
      <t>este exceso constituye ingreso tributario del trabajador/a</t>
    </r>
    <r>
      <rPr>
        <sz val="12"/>
        <color theme="1"/>
        <rFont val="Arial"/>
        <family val="2"/>
      </rPr>
      <t>. Se debe tener en cuenta que, esto no aplica a gastos de representación sino a auxilio de alimentación.</t>
    </r>
  </si>
  <si>
    <t>De acuerdo con el artículo 126-4 del ET las sumas que las personas naturales depositen en las cuentas de ahorro para el fomento de la construcción —AFC— y las cuentas de ahorro voluntario contractual —AVC—, serán consideradas como una renta exenta.
Se debe tener en cuenta que, esta renta exenta en conjunto con los aportes voluntarios a los seguros privados de pensiones y a los fondos de pensiones voluntarias expuestos en el inciso 2 del artículo 126-1 del ET, no podrán exceder el 30 % del ingreso ni 3.800 UVT en el año ($161.166.000).</t>
  </si>
  <si>
    <t>Las rentas exentas expuestas en los numerales 1 a 3 del artículo 206 del ET son las indemnizaciones por accidente de trabajo o enfermedad, las que impliquen protección a la maternidad y los valores recibidos por gastos de entierro del trabajador. Estas serán sometidas al límite expuesto en el parágrafo 3 del artículo 1.2.4.1.6 del Decreto 1625 del 2016.
Por otra parte, las rentas exentas expuestas en los numerales 6 a 9 del artículo 206 ET que también tienen relación con un vincula laboral, no estarán sometidas a dicho límite y son las siguientes:
- El seguro por muerte, las compensaciones por muerte y las prestaciones sociales en actividad y en retiro de los miembros de las Fuerzas Militares y de la Policía Nacional.
- Gastos de representación de magistrados, sus fiscales y procuradores que para efectos de renta exenta será el 50 % del salario
- El exceso del salario básico percibido por oficiales, suboficiales y soldados profesionales de las Fuerzas Militares y oficiales, suboficiales, nivel ejecutivo, patrulleros y agentes de la Policía Nacional.
- Los gastos de representación de los rectores y profesores de universidades públicas que no podrán exceder el 50 % de su salario.</t>
  </si>
  <si>
    <t>De acuerdo con el artículo 126-1 del Estatuto Tributario los aportes voluntarios a los seguros privados de pensiones y a los fondos de pensiones voluntarias, administrados por las entidades vigiladas por la Superintendencia Financiera de Colombia, serán considerados como una renta exenta.
Se debe tener en cuenta que, esta renta exenta en conjunto con los aportes a cuentas AFC y AVC de que trata el artículo 126-4 del Estatuto Tributario, no podrán exceder el 30 % del ingreso ni 3.800 UVT en el año ($161.166.000).
Se recomienda validar las condiciones de permanencia de 10 años expuestas en el artículo 126-1 del Estatuto Tributario.</t>
  </si>
  <si>
    <t>Liquidación del impuesto de renta</t>
  </si>
  <si>
    <t>Renta exenta por rentas de trabajo obtenidas en países de la CAN</t>
  </si>
  <si>
    <t>De acuerdo con la Decisión 578 de 2004 y el Concepto tributario 0030734 de 2006 se consideran como rentas exentas los ingresos obtenidos en países de la Comunidad Andina de las Naciones (Ecuador, Perú, Bolivia y Colombia). 
Esta renta exenta no está sometida al límite expuesto en el artículo 1.2.1.20.4 del Decreto 1625 de 2016 (modificado por el Decreto 2231 de 2023).</t>
  </si>
  <si>
    <r>
      <t xml:space="preserve">Los intereses de vivienda o los costos financieros por leasing habitacional en los que haya incurrido quien recibe las rentas de trabajo </t>
    </r>
    <r>
      <rPr>
        <b/>
        <sz val="12"/>
        <color theme="1"/>
        <rFont val="Arial"/>
        <family val="2"/>
      </rPr>
      <t>se podrán deducir en un máximo de 100 UVT mensuales ($4.241.000) siendo 1.200 UVT por el 2023 (50.894.000)</t>
    </r>
    <r>
      <rPr>
        <sz val="12"/>
        <color theme="1"/>
        <rFont val="Arial"/>
        <family val="2"/>
      </rPr>
      <t>. 
Esta es considerada una deducción especial, por tanto, no se exige que la generación de intereses haya sido producto de la actividad económica del contribuyente. Solo se debe atender lo expuesto en el artículo 119 del Estatuto Tributario para verificar si se puede aplicar a la deducción.</t>
    </r>
  </si>
  <si>
    <t>Gravamen a los movimientos financieros</t>
  </si>
  <si>
    <t>Intereses pagados al Icetex</t>
  </si>
  <si>
    <r>
      <t xml:space="preserve">De la lectura del artículo 387 del Estatuto Tributario, se concluye que sobre los pagos a entidades prestadoras de servicios de salud por concepto de salud prepagada, seguros de salud o planes complementarios se puede incluir una deducción que no supere las </t>
    </r>
    <r>
      <rPr>
        <b/>
        <sz val="12"/>
        <color theme="1"/>
        <rFont val="Arial"/>
        <family val="2"/>
      </rPr>
      <t>16 UVT al mes ($679.000), siendo 192 UVT para 2023 ($8.143.000).</t>
    </r>
  </si>
  <si>
    <r>
      <t>De acuerdo con las novedades incorporadas por la reforma tributaria 2277 de 2022 al artículo 336 del Estatuto Tributario (reglamentado con el Decreto 2231 de 2023), se tendrá en cuenta lo siguiente:
1) Continúan aplicando las disposiciones del artículo 387 del Estatuto Tributario en el que se expone que al tener dependientes económicos se podrá tomar como deducción el 10 % de las rentas de trabajo,</t>
    </r>
    <r>
      <rPr>
        <b/>
        <sz val="12"/>
        <color theme="1"/>
        <rFont val="Arial"/>
        <family val="2"/>
      </rPr>
      <t xml:space="preserve"> sin exceder las 32 UVT al mes, es decir, 384 UVT al año ($16.286.000)</t>
    </r>
    <r>
      <rPr>
        <sz val="12"/>
        <color theme="1"/>
        <rFont val="Arial"/>
        <family val="2"/>
      </rPr>
      <t>.</t>
    </r>
    <r>
      <rPr>
        <b/>
        <sz val="12"/>
        <color theme="1"/>
        <rFont val="Arial"/>
        <family val="2"/>
      </rPr>
      <t xml:space="preserve"> 
</t>
    </r>
    <r>
      <rPr>
        <sz val="12"/>
        <color theme="1"/>
        <rFont val="Arial"/>
        <family val="2"/>
      </rPr>
      <t>2)</t>
    </r>
    <r>
      <rPr>
        <b/>
        <sz val="12"/>
        <color theme="1"/>
        <rFont val="Arial"/>
        <family val="2"/>
      </rPr>
      <t xml:space="preserve"> </t>
    </r>
    <r>
      <rPr>
        <sz val="12"/>
        <color theme="1"/>
        <rFont val="Arial"/>
        <family val="2"/>
      </rPr>
      <t xml:space="preserve">Adicionalmente, los empleados se podrán tomar el beneficio de la deducción de </t>
    </r>
    <r>
      <rPr>
        <b/>
        <sz val="12"/>
        <color theme="1"/>
        <rFont val="Arial"/>
        <family val="2"/>
      </rPr>
      <t>72 UVT ($3.054.000),</t>
    </r>
    <r>
      <rPr>
        <sz val="12"/>
        <color theme="1"/>
        <rFont val="Arial"/>
        <family val="2"/>
      </rPr>
      <t xml:space="preserve"> mencionado en el artículo 336 del Estatuto Tributario, de forma adicional, por cada uno de esos dependientes económicos. Por ejemplo, si una persona natural asalariada tiene 2 dependientes económicos, podrá tomar el 10 % de las rentas de trabajo como deducción y además, </t>
    </r>
    <r>
      <rPr>
        <b/>
        <sz val="12"/>
        <color theme="1"/>
        <rFont val="Arial"/>
        <family val="2"/>
      </rPr>
      <t>144 UVT de deducción adicional (72 UVT por el dependiente 1 y 72 UVT por el dependiente 2)</t>
    </r>
    <r>
      <rPr>
        <sz val="12"/>
        <color theme="1"/>
        <rFont val="Arial"/>
        <family val="2"/>
      </rPr>
      <t>.
Se debe tener en cuenta que, para acceder a esta deducción, quien recibe el pago debe cumplir las condiciones de definición de "dependiente económico" según lo dispuesto en el artículo 1.2.4.1.18 del Decreto 1625 de 2016. Si deseas conocer más detalles, te invitamos a consultar el siguiente análisis:</t>
    </r>
  </si>
  <si>
    <t>De acuerdo con el artículo 115 del Estatuto Tributario, el 50 % del gravamen a los movimientos financieros podrá ser utilizado en la declaración de renta. Para este caso de asalariados, aplica en la subcédula de rentas de trabajo.</t>
  </si>
  <si>
    <t>De acuerdo con el artículo 206-1 del Estatuto Tributario y el artículo 1.2.1.20.4 del Decreto 1625 de 2016, la prima especial y la prima de costo de vida de los servidores públicos diplomáticos, consulares y administrativos del Ministerio de Relaciones Exteriores son una renta exenta y no están sometidas al límite general expuesto en el parágrafo 3 del artículo 1.2.4.1.6 del Decreto 1625 de 2016.</t>
  </si>
  <si>
    <t>Límite</t>
  </si>
  <si>
    <t>Deducción por dependientes económicos</t>
  </si>
  <si>
    <t>En esta casilla van los apoyos económicos que otorgan empleadores en la relación laboral y se consideran ingresos. El caso de los apoyos educativos no reembolsables o condonados, otorgados por el Estado o financiados con recursos públicos se consideran ingreso no gravado y van declarados en la subcédula de rentas no laborales y no se incluyen en este apartado.</t>
  </si>
  <si>
    <r>
      <t>Si la persona natural devengó más de 310 UVT mensuales en 2023 ($13.148.000), se debe ingresar en esta casilla todo el monto que percibió por concepto de alimentación, si devengó menos de este valor al mes, se debe ingresar solo el valor recibido por alimentación que exceda las 41 UVT (1.739.000). 
Ejemplo: si la persona natural devenga $10.000.000 mensuales y recibe un bono de alimentación por $1.000.000, este valor no constituye ingreso para efectos de la declaración de renta. Por el contrario, si devenga $20.000.000 mensuales y recibe un bono de $1.000.000 sí deberá incluir este valor.
¡Importante!: Los viáticos y gastos de representación deben estar ingresados en la celda</t>
    </r>
    <r>
      <rPr>
        <sz val="12"/>
        <rFont val="Arial"/>
        <family val="2"/>
      </rPr>
      <t xml:space="preserve"> D26</t>
    </r>
    <r>
      <rPr>
        <sz val="12"/>
        <color theme="1"/>
        <rFont val="Arial"/>
        <family val="2"/>
      </rPr>
      <t>.</t>
    </r>
  </si>
  <si>
    <t>Los límites expuestos en las celdas E52 (30 % de pagos por rentas de trabajo) y E53 (3.800 UVT) son aplicables a estos dos conceptos en conjunto.</t>
  </si>
  <si>
    <t>En la celda D62 se debe ubicar para el caso de magistrados, sus fiscales y procuradores el 50 % del salario. En el caso de los jueces de la República, el 25 % del salario.</t>
  </si>
  <si>
    <t>En la celda D61 se debe ubicar el seguro por muerte, las compensaciones por muerte y las prestaciones sociales en actividad y en retiro de los miembros de las Fuerzas Militares y de la Policía Nacional.</t>
  </si>
  <si>
    <t>En la celda D63 se debe ubicar el exceso del salario básico percibido por oficiales, suboficiales y soldados profesionales de las Fuerzas Militares y oficiales, suboficiales, nivel ejecutivo, patrulleros y agentes de la Policía Nacional.</t>
  </si>
  <si>
    <t>Se debe ubicar en la celda D64 los gastos de representación los cuales no podrán exceder del cincuenta 50 % del su salario.</t>
  </si>
  <si>
    <t>Se debe ubicar en la celda D66 los valores asociados a prima especial o prima de costo de vida para servidores públicos del Ministerio de relaciones exteriores.</t>
  </si>
  <si>
    <t>Valor / Número de dependientes económicos</t>
  </si>
  <si>
    <t>Se debe ubicar en la celda D90 los pagos realizados por medicina prepagada, planes complementarios o seguros de salud. El límite a esta deducción es de 192 UVT por el 2023 ($8.143.000).</t>
  </si>
  <si>
    <t>Se debe ubicar en la celda D91 el 50 % del gravamen a los movimientos financieros</t>
  </si>
  <si>
    <t>Se debe ubicar en la celda D92 el valor de intereses pagados por préstamos educativos al Icetex, teniendo en cuenta el límite de las 100 UVT al año ($4.241.000).</t>
  </si>
  <si>
    <r>
      <t xml:space="preserve">Se podrán incluir como deducción los pagos realizados al Icetex por intereses de un préstamo educativo. Este beneficio no puede exceder las </t>
    </r>
    <r>
      <rPr>
        <b/>
        <sz val="12"/>
        <color theme="1"/>
        <rFont val="Arial"/>
        <family val="2"/>
      </rPr>
      <t>100 UVT para 2023 ($4.241.000)</t>
    </r>
    <r>
      <rPr>
        <sz val="12"/>
        <color theme="1"/>
        <rFont val="Arial"/>
        <family val="2"/>
      </rPr>
      <t>.</t>
    </r>
  </si>
  <si>
    <t>Se deben ubicar en la celda D83 los intereses o costos financieros pagados por este concepto en 2023. Se podrá deducir un monto máximo de 1.200 UVT al año.
Nota: Esta casilla se libera al responder las primeras preguntas generadas en la plataforma de la Dian al momento de realizar el borrador de la declaración.</t>
  </si>
  <si>
    <t>Total</t>
  </si>
  <si>
    <t>Base</t>
  </si>
  <si>
    <t>Cuenta corriente 1</t>
  </si>
  <si>
    <t>Cuenta corriente 2</t>
  </si>
  <si>
    <t>Cuenta corriente 3</t>
  </si>
  <si>
    <t>Cuenta de ahorros 1</t>
  </si>
  <si>
    <t>Cuenta de ahorros 2</t>
  </si>
  <si>
    <t>Cuenta de ahorros 3</t>
  </si>
  <si>
    <t>Acciones y aportes</t>
  </si>
  <si>
    <t>Acciones en sociedad 1 en el exterior</t>
  </si>
  <si>
    <t>Acciones en sociedad 2 en el exterior</t>
  </si>
  <si>
    <t>Acciones en sociedad 1 nacional</t>
  </si>
  <si>
    <t>Acciones en sociedad 2 nacional</t>
  </si>
  <si>
    <t>Inversiones</t>
  </si>
  <si>
    <t>Título que cotiza en bolsa 1</t>
  </si>
  <si>
    <t>Título que cotiza en bolsa 2</t>
  </si>
  <si>
    <t>CDT 1</t>
  </si>
  <si>
    <t>CDT 2</t>
  </si>
  <si>
    <t>Otras inversiones</t>
  </si>
  <si>
    <t>Inversiones en el exterior</t>
  </si>
  <si>
    <t>Muebles y enseres 1</t>
  </si>
  <si>
    <t>Muebles y enseres 2</t>
  </si>
  <si>
    <t>Otros activos</t>
  </si>
  <si>
    <t>Otros activos fijos</t>
  </si>
  <si>
    <t>Propiedades, planta y equipo</t>
  </si>
  <si>
    <t>Otros activos de la persona natural</t>
  </si>
  <si>
    <t>Cuentas por cobrar</t>
  </si>
  <si>
    <t>Saldos a favor</t>
  </si>
  <si>
    <t>Anticipos del impuesto de renta</t>
  </si>
  <si>
    <t>Prestaciones sociales</t>
  </si>
  <si>
    <t>Cesantías</t>
  </si>
  <si>
    <t>Derechos, patentes, etc.</t>
  </si>
  <si>
    <t>Total patrimonio bruto</t>
  </si>
  <si>
    <t>Efectivo y bancos</t>
  </si>
  <si>
    <t>Dinero en efectivo disponible</t>
  </si>
  <si>
    <t>CASILLA 30
Deudas</t>
  </si>
  <si>
    <r>
      <rPr>
        <b/>
        <sz val="16"/>
        <color rgb="FFFFFFFF"/>
        <rFont val="Arial"/>
        <family val="2"/>
      </rPr>
      <t>CASILLA 31</t>
    </r>
    <r>
      <rPr>
        <b/>
        <sz val="12"/>
        <color rgb="FFFFFFFF"/>
        <rFont val="Arial"/>
        <family val="2"/>
      </rPr>
      <t xml:space="preserve">
Patrimonio líquido</t>
    </r>
  </si>
  <si>
    <t>Total Casilla 31</t>
  </si>
  <si>
    <t>Total deudas</t>
  </si>
  <si>
    <t>Obligación financiera 1</t>
  </si>
  <si>
    <t>Obligación financiera 2</t>
  </si>
  <si>
    <t>Obligación financiera 3</t>
  </si>
  <si>
    <t>Cuenta por pagar 1</t>
  </si>
  <si>
    <t>Cuenta por pagar 2</t>
  </si>
  <si>
    <t xml:space="preserve">Arrendamiento por pagar </t>
  </si>
  <si>
    <t>Impuesto predial por pagar</t>
  </si>
  <si>
    <t>Impuesto de vehículo por pagar</t>
  </si>
  <si>
    <t>Otras obligaciones con terceros 1</t>
  </si>
  <si>
    <t>Otras obligaciones con terceros 2</t>
  </si>
  <si>
    <t>Otras obligaciones con terceros 3</t>
  </si>
  <si>
    <t>CASILLA 29
Patrimonio bruto - Artículo 261 y siguientes del Estatuto Tributario</t>
  </si>
  <si>
    <t>Ingresar los saldos a 31 de diciembre de 2023 (artículos 268 y 269 del Estatuto Tributario).</t>
  </si>
  <si>
    <t>Cuando se trata de acciones preferenciales, se declaran como una cuenta por cobrar (ver artículos 33-3 y 272 del Estatuto Tributario). De lo contrario para todas las demas accioines, se debe registrar el costo fiscal ajustado (artículos 70, 272 y 280 del Estatuto Tributario).
Reajuste fiscal 2023: 12.40 %</t>
  </si>
  <si>
    <t xml:space="preserve"> </t>
  </si>
  <si>
    <t>Cuando se trata de títulos, CDT o demás inversiones que coticen en bolsa se tendrá en cuenta tomar el costo de adquisición, el cual se debe multiplicar por el índice de cotización en bolsa expuesto para 2023 en la Circular 00006 de 2024 (ver artículos 271 y 27 del Estatuto Tributario).</t>
  </si>
  <si>
    <t>Ingresar el costo fiscal con la opción de aplicar el reajuste (ver artículos 267, 70 y 280 del Estatuto Tributario).
Reajuste fiscal 2023: 12.40 %</t>
  </si>
  <si>
    <t>Saldos a favor a 31 de diciembre de 2023 incluyendo los reportados en esta declaración.</t>
  </si>
  <si>
    <t>Valores que el empleador tiene a favor del empleado por concepto de cesantías, intereses de cesantías, vaciones o prima de servicio causadas en la contabilidad del empleador.</t>
  </si>
  <si>
    <t>Se incluyen cuentas por cobrar que realmente vayan a representar una conversión a efectivo en el futuro.</t>
  </si>
  <si>
    <t>Ingresar el mayor valor entre el costo fiscal y el avalúo catastral (ver artículos 69, 70, 72, 73 y 277 y 280 del Estatuto Tributario).
Reajuste fiscal 2023: 12.40 %</t>
  </si>
  <si>
    <t>Se incluyen solamente los pasivos que puedan ser respaldados por documentos de fecha cierta, en otros casos deberán estar respaldados por soportes contables (ver artículos 283, 767, 770 y 771 del Estatuto Tributario).</t>
  </si>
  <si>
    <t>Pasivos</t>
  </si>
  <si>
    <t>Para el caso en que el beneficiario del pago sea alguien que percibe salario integral, esta renta debe calcularse sobre todo el salario integral incluyendo el factor prestacional.
Esta renta exenta está limitada a 790 UVT ($33.505.000)</t>
  </si>
  <si>
    <t xml:space="preserve">Herramienta de declaración de renta de 
personas naturales asalariadas en 2023 </t>
  </si>
  <si>
    <t>Valor depurado / Número de dependientes económicos</t>
  </si>
  <si>
    <t>Valores</t>
  </si>
  <si>
    <t>Ubicar en la celda C79 el total de facturas válidas para acceder a esta deducción. Este ítem de la casilla 299 se libera en la plataforma de la Dian al responder las preguntas iniciales, en las que una tiene que ver con si se han realizado compras de este tipo.</t>
  </si>
  <si>
    <t>Total Casilla 36</t>
  </si>
  <si>
    <t>Depuración de renta exenta del 25 % del total de los pagos laborales</t>
  </si>
  <si>
    <t>CASILLA 41 Y 42
Depuración de rentas exentas y deducciones y cálculo de la renta líquida ordinaria</t>
  </si>
  <si>
    <r>
      <t xml:space="preserve">Casilla 42
</t>
    </r>
    <r>
      <rPr>
        <sz val="12"/>
        <color theme="1"/>
        <rFont val="Arial"/>
        <family val="2"/>
      </rPr>
      <t>Renta líquida ordinaria de las rentas de trabajo</t>
    </r>
  </si>
  <si>
    <r>
      <rPr>
        <b/>
        <sz val="12"/>
        <color theme="1"/>
        <rFont val="Arial"/>
        <family val="2"/>
      </rPr>
      <t>Total casilla 39</t>
    </r>
    <r>
      <rPr>
        <sz val="12"/>
        <color theme="1"/>
        <rFont val="Arial"/>
        <family val="2"/>
      </rPr>
      <t xml:space="preserve">
Deducciones imputables a las rentas de trabajo - otras deducciones imputables</t>
    </r>
  </si>
  <si>
    <r>
      <rPr>
        <b/>
        <sz val="12"/>
        <color theme="1"/>
        <rFont val="Arial"/>
        <family val="2"/>
      </rPr>
      <t>Casilla 41</t>
    </r>
    <r>
      <rPr>
        <sz val="12"/>
        <color theme="1"/>
        <rFont val="Arial"/>
        <family val="2"/>
      </rPr>
      <t xml:space="preserve">
Rentas exentas y/o deducciones imputables a las rentas de trabajo limitadas</t>
    </r>
  </si>
  <si>
    <t>CASILLAS 138 Y 139
Dependientes económicos</t>
  </si>
  <si>
    <r>
      <rPr>
        <b/>
        <sz val="12"/>
        <color theme="1"/>
        <rFont val="Arial"/>
        <family val="2"/>
      </rPr>
      <t>Casilla 92</t>
    </r>
    <r>
      <rPr>
        <sz val="12"/>
        <color theme="1"/>
        <rFont val="Arial"/>
        <family val="2"/>
      </rPr>
      <t xml:space="preserve">
Rentas exentas y deducciones imputables limitadas</t>
    </r>
  </si>
  <si>
    <r>
      <rPr>
        <b/>
        <sz val="12"/>
        <color theme="1"/>
        <rFont val="Arial"/>
        <family val="2"/>
      </rPr>
      <t>Casilla 91</t>
    </r>
    <r>
      <rPr>
        <sz val="12"/>
        <color theme="1"/>
        <rFont val="Arial"/>
        <family val="2"/>
      </rPr>
      <t xml:space="preserve">
Renta líquida de la cédula general</t>
    </r>
  </si>
  <si>
    <r>
      <rPr>
        <b/>
        <sz val="12"/>
        <color theme="1"/>
        <rFont val="Arial"/>
        <family val="2"/>
      </rPr>
      <t>Casilla 93</t>
    </r>
    <r>
      <rPr>
        <sz val="12"/>
        <color theme="1"/>
        <rFont val="Arial"/>
        <family val="2"/>
      </rPr>
      <t xml:space="preserve">
Renta líquida ordinaria cédula general</t>
    </r>
  </si>
  <si>
    <r>
      <rPr>
        <b/>
        <sz val="12"/>
        <color theme="1"/>
        <rFont val="Arial"/>
        <family val="2"/>
      </rPr>
      <t>Casilla 94</t>
    </r>
    <r>
      <rPr>
        <sz val="12"/>
        <color theme="1"/>
        <rFont val="Arial"/>
        <family val="2"/>
      </rPr>
      <t xml:space="preserve">
Compensación de pérdidas año 2018 y anteriores</t>
    </r>
  </si>
  <si>
    <r>
      <rPr>
        <b/>
        <sz val="12"/>
        <color theme="1"/>
        <rFont val="Arial"/>
        <family val="2"/>
      </rPr>
      <t>Casilla 95</t>
    </r>
    <r>
      <rPr>
        <sz val="12"/>
        <color theme="1"/>
        <rFont val="Arial"/>
        <family val="2"/>
      </rPr>
      <t xml:space="preserve">
Compensación exceso renta presuntiva</t>
    </r>
  </si>
  <si>
    <r>
      <rPr>
        <b/>
        <sz val="12"/>
        <color theme="1"/>
        <rFont val="Arial"/>
        <family val="2"/>
      </rPr>
      <t>Casilla 96</t>
    </r>
    <r>
      <rPr>
        <sz val="12"/>
        <color theme="1"/>
        <rFont val="Arial"/>
        <family val="2"/>
      </rPr>
      <t xml:space="preserve">
Rentas gravables</t>
    </r>
  </si>
  <si>
    <r>
      <rPr>
        <b/>
        <sz val="12"/>
        <color theme="1"/>
        <rFont val="Arial"/>
        <family val="2"/>
      </rPr>
      <t>Casilla 97</t>
    </r>
    <r>
      <rPr>
        <sz val="12"/>
        <color theme="1"/>
        <rFont val="Arial"/>
        <family val="2"/>
      </rPr>
      <t xml:space="preserve">
Renta líquida gravable cédula general</t>
    </r>
  </si>
  <si>
    <r>
      <rPr>
        <b/>
        <sz val="12"/>
        <color theme="1"/>
        <rFont val="Arial"/>
        <family val="2"/>
      </rPr>
      <t>Casilla 98</t>
    </r>
    <r>
      <rPr>
        <sz val="12"/>
        <color theme="1"/>
        <rFont val="Arial"/>
        <family val="2"/>
      </rPr>
      <t xml:space="preserve">
Renta presuntiva</t>
    </r>
  </si>
  <si>
    <t>CASILLAS 112 a 115
Ganancias ocasionales</t>
  </si>
  <si>
    <r>
      <rPr>
        <b/>
        <sz val="12"/>
        <color theme="1"/>
        <rFont val="Arial"/>
        <family val="2"/>
      </rPr>
      <t>Casilla 32</t>
    </r>
    <r>
      <rPr>
        <sz val="12"/>
        <color theme="1"/>
        <rFont val="Arial"/>
        <family val="2"/>
      </rPr>
      <t xml:space="preserve">
</t>
    </r>
    <r>
      <rPr>
        <sz val="10"/>
        <color theme="1"/>
        <rFont val="Arial"/>
        <family val="2"/>
      </rPr>
      <t>Rentas de trabajo provenientes de una relación laboral</t>
    </r>
  </si>
  <si>
    <r>
      <rPr>
        <b/>
        <sz val="12"/>
        <color theme="1"/>
        <rFont val="Arial"/>
        <family val="2"/>
      </rPr>
      <t>Casilla 33</t>
    </r>
    <r>
      <rPr>
        <sz val="12"/>
        <color theme="1"/>
        <rFont val="Arial"/>
        <family val="2"/>
      </rPr>
      <t xml:space="preserve">
</t>
    </r>
    <r>
      <rPr>
        <sz val="10"/>
        <color theme="1"/>
        <rFont val="Arial"/>
        <family val="2"/>
      </rPr>
      <t xml:space="preserve">Ingresos no constitutivos de rentas de trabajo </t>
    </r>
  </si>
  <si>
    <r>
      <rPr>
        <b/>
        <sz val="12"/>
        <color theme="1"/>
        <rFont val="Arial"/>
        <family val="2"/>
      </rPr>
      <t>Casilla 35</t>
    </r>
    <r>
      <rPr>
        <sz val="12"/>
        <color theme="1"/>
        <rFont val="Arial"/>
        <family val="2"/>
      </rPr>
      <t xml:space="preserve">
</t>
    </r>
    <r>
      <rPr>
        <sz val="10"/>
        <color theme="1"/>
        <rFont val="Arial"/>
        <family val="2"/>
      </rPr>
      <t>Rentas exentas sometidas al límite del artículo 336 del Estatuto Tributario por concepto de aportes voluntarios AFC, FVP y/o AVC</t>
    </r>
  </si>
  <si>
    <r>
      <rPr>
        <b/>
        <sz val="12"/>
        <color theme="1"/>
        <rFont val="Arial"/>
        <family val="2"/>
      </rPr>
      <t xml:space="preserve">Casilla 36 </t>
    </r>
    <r>
      <rPr>
        <sz val="12"/>
        <color theme="1"/>
        <rFont val="Arial"/>
        <family val="2"/>
      </rPr>
      <t xml:space="preserve">
</t>
    </r>
    <r>
      <rPr>
        <sz val="10"/>
        <color theme="1"/>
        <rFont val="Arial"/>
        <family val="2"/>
      </rPr>
      <t xml:space="preserve">Otras rentas exentas </t>
    </r>
    <r>
      <rPr>
        <b/>
        <sz val="10"/>
        <color theme="1"/>
        <rFont val="Arial"/>
        <family val="2"/>
      </rPr>
      <t>sometidas</t>
    </r>
    <r>
      <rPr>
        <sz val="10"/>
        <color theme="1"/>
        <rFont val="Arial"/>
        <family val="2"/>
      </rPr>
      <t xml:space="preserve"> al límite del artículo 336 del Estatuto Tributario.</t>
    </r>
  </si>
  <si>
    <r>
      <rPr>
        <b/>
        <sz val="12"/>
        <color theme="1"/>
        <rFont val="Arial"/>
        <family val="2"/>
      </rPr>
      <t xml:space="preserve">Casilla 36 </t>
    </r>
    <r>
      <rPr>
        <sz val="12"/>
        <color theme="1"/>
        <rFont val="Arial"/>
        <family val="2"/>
      </rPr>
      <t xml:space="preserve">
</t>
    </r>
    <r>
      <rPr>
        <sz val="10"/>
        <color theme="1"/>
        <rFont val="Arial"/>
        <family val="2"/>
      </rPr>
      <t xml:space="preserve">Otras rentas exentas que </t>
    </r>
    <r>
      <rPr>
        <b/>
        <sz val="10"/>
        <color theme="1"/>
        <rFont val="Arial"/>
        <family val="2"/>
      </rPr>
      <t>no están</t>
    </r>
    <r>
      <rPr>
        <sz val="10"/>
        <color theme="1"/>
        <rFont val="Arial"/>
        <family val="2"/>
      </rPr>
      <t xml:space="preserve"> </t>
    </r>
    <r>
      <rPr>
        <b/>
        <sz val="10"/>
        <color theme="1"/>
        <rFont val="Arial"/>
        <family val="2"/>
      </rPr>
      <t xml:space="preserve">sometidas </t>
    </r>
    <r>
      <rPr>
        <sz val="10"/>
        <color theme="1"/>
        <rFont val="Arial"/>
        <family val="2"/>
      </rPr>
      <t>al límite del artículo 336 del Estatuto Tributario.</t>
    </r>
  </si>
  <si>
    <r>
      <rPr>
        <b/>
        <sz val="12"/>
        <color theme="1"/>
        <rFont val="Arial"/>
        <family val="2"/>
      </rPr>
      <t>Casilla 299</t>
    </r>
    <r>
      <rPr>
        <sz val="12"/>
        <color theme="1"/>
        <rFont val="Arial"/>
        <family val="2"/>
      </rPr>
      <t xml:space="preserve">
Compras realizadas a obligados a facturar, pagadas por medios electrónicos y bancarizados.</t>
    </r>
  </si>
  <si>
    <r>
      <rPr>
        <b/>
        <sz val="12"/>
        <color theme="1"/>
        <rFont val="Arial"/>
        <family val="2"/>
      </rPr>
      <t>Casilla 28</t>
    </r>
    <r>
      <rPr>
        <sz val="12"/>
        <color theme="1"/>
        <rFont val="Arial"/>
        <family val="2"/>
      </rPr>
      <t xml:space="preserve">
1 % de la facturación admitida</t>
    </r>
  </si>
  <si>
    <r>
      <rPr>
        <b/>
        <sz val="12"/>
        <color theme="1"/>
        <rFont val="Arial"/>
        <family val="2"/>
      </rPr>
      <t>Casilla 138</t>
    </r>
    <r>
      <rPr>
        <sz val="12"/>
        <color theme="1"/>
        <rFont val="Arial"/>
        <family val="2"/>
      </rPr>
      <t xml:space="preserve">
Número de dependientes económicos</t>
    </r>
  </si>
  <si>
    <r>
      <rPr>
        <b/>
        <sz val="12"/>
        <color theme="1"/>
        <rFont val="Arial"/>
        <family val="2"/>
      </rPr>
      <t>Casilla 139</t>
    </r>
    <r>
      <rPr>
        <sz val="12"/>
        <color theme="1"/>
        <rFont val="Arial"/>
        <family val="2"/>
      </rPr>
      <t xml:space="preserve">
Adición por dependientes a la casilla 92</t>
    </r>
  </si>
  <si>
    <r>
      <rPr>
        <b/>
        <sz val="12"/>
        <color theme="1"/>
        <rFont val="Arial"/>
        <family val="2"/>
      </rPr>
      <t>Casilla 38</t>
    </r>
    <r>
      <rPr>
        <sz val="12"/>
        <color theme="1"/>
        <rFont val="Arial"/>
        <family val="2"/>
      </rPr>
      <t xml:space="preserve">
</t>
    </r>
    <r>
      <rPr>
        <sz val="10"/>
        <color theme="1"/>
        <rFont val="Arial"/>
        <family val="2"/>
      </rPr>
      <t>Deducción por intereses de vivienda o costos financieros asociados al leasing habitacional sometidos al límite del artículo 336 del Estatuto Tributario</t>
    </r>
  </si>
  <si>
    <r>
      <rPr>
        <b/>
        <sz val="12"/>
        <color theme="1"/>
        <rFont val="Arial"/>
        <family val="2"/>
      </rPr>
      <t>Casilla 39</t>
    </r>
    <r>
      <rPr>
        <sz val="12"/>
        <color theme="1"/>
        <rFont val="Arial"/>
        <family val="2"/>
      </rPr>
      <t xml:space="preserve">
</t>
    </r>
    <r>
      <rPr>
        <sz val="10"/>
        <color theme="1"/>
        <rFont val="Arial"/>
        <family val="2"/>
      </rPr>
      <t>Otras deducciones sometidas al límite del artículo 336 del Estatuto Tributario.</t>
    </r>
  </si>
  <si>
    <r>
      <rPr>
        <b/>
        <sz val="12"/>
        <color theme="1"/>
        <rFont val="Arial"/>
        <family val="2"/>
      </rPr>
      <t>Casilla 111</t>
    </r>
    <r>
      <rPr>
        <sz val="12"/>
        <color theme="1"/>
        <rFont val="Arial"/>
        <family val="2"/>
      </rPr>
      <t xml:space="preserve">
Renta líquida gravable cédula general o renta presuntiva</t>
    </r>
  </si>
  <si>
    <t>CASILLAS 111, 116 y 121
Renta líquida gravable e impuesto neto de renta</t>
  </si>
  <si>
    <r>
      <rPr>
        <b/>
        <sz val="12"/>
        <color theme="1"/>
        <rFont val="Arial"/>
        <family val="2"/>
      </rPr>
      <t>Casilla 121</t>
    </r>
    <r>
      <rPr>
        <sz val="12"/>
        <color theme="1"/>
        <rFont val="Arial"/>
        <family val="2"/>
      </rPr>
      <t xml:space="preserve">
Total impuesto sobre las rentas líquidas</t>
    </r>
  </si>
  <si>
    <r>
      <rPr>
        <b/>
        <sz val="12"/>
        <color theme="1"/>
        <rFont val="Arial"/>
        <family val="2"/>
      </rPr>
      <t>Casilla 116</t>
    </r>
    <r>
      <rPr>
        <sz val="12"/>
        <color theme="1"/>
        <rFont val="Arial"/>
        <family val="2"/>
      </rPr>
      <t xml:space="preserve">
Impuesto sobre las rentas líquidas gravables (Cédula general, de pensiones y de dividendos y participaciones)</t>
    </r>
  </si>
  <si>
    <t>(base gravable expresada en UVT - 1.090 UVT) * 19 %</t>
  </si>
  <si>
    <t>(base gravable expresada en UVT - 1.700 UVT) * 28 % + 116 UVT</t>
  </si>
  <si>
    <t>(base gravable expresada en UVT - 31.000 UVT) * 39 % + 10.352 UVT</t>
  </si>
  <si>
    <t>(base gravable expresada en UVT - 18.970 UVT) * 37 % + 5.901 UVT</t>
  </si>
  <si>
    <t>(base gravable expresada en UVT - 8.670 UVT) * 35 % + 2.296 UVT</t>
  </si>
  <si>
    <t>(base gravable expresada en UVT - 4.100 UVT) * 33 % + 788 UVT</t>
  </si>
  <si>
    <t>Renta líquida en UVT</t>
  </si>
  <si>
    <t>Renta líquida (en pesos)</t>
  </si>
  <si>
    <t>Renta líquida (en UVT)</t>
  </si>
  <si>
    <t>Hasta (termina rango en UVT)</t>
  </si>
  <si>
    <t>Desde (inicio rango en UVT)</t>
  </si>
  <si>
    <t>Detalle cálculos</t>
  </si>
  <si>
    <t xml:space="preserve">Impuesto </t>
  </si>
  <si>
    <t>CASILLAS 122 a 125
Descuentos tributarios</t>
  </si>
  <si>
    <r>
      <rPr>
        <b/>
        <sz val="12"/>
        <color theme="1"/>
        <rFont val="Arial"/>
        <family val="2"/>
      </rPr>
      <t>Casilla 122</t>
    </r>
    <r>
      <rPr>
        <sz val="12"/>
        <color theme="1"/>
        <rFont val="Arial"/>
        <family val="2"/>
      </rPr>
      <t xml:space="preserve">
Impuestos pagados en el exterior</t>
    </r>
  </si>
  <si>
    <r>
      <rPr>
        <b/>
        <sz val="12"/>
        <color theme="1"/>
        <rFont val="Arial"/>
        <family val="2"/>
      </rPr>
      <t>Casilla 123</t>
    </r>
    <r>
      <rPr>
        <sz val="12"/>
        <color theme="1"/>
        <rFont val="Arial"/>
        <family val="2"/>
      </rPr>
      <t xml:space="preserve">
Donaciones</t>
    </r>
  </si>
  <si>
    <r>
      <rPr>
        <b/>
        <sz val="12"/>
        <color theme="1"/>
        <rFont val="Arial"/>
        <family val="2"/>
      </rPr>
      <t>Casilla 125</t>
    </r>
    <r>
      <rPr>
        <sz val="12"/>
        <color theme="1"/>
        <rFont val="Arial"/>
        <family val="2"/>
      </rPr>
      <t xml:space="preserve">
Total descuentos tributarios</t>
    </r>
  </si>
  <si>
    <r>
      <rPr>
        <b/>
        <sz val="12"/>
        <color theme="1"/>
        <rFont val="Arial"/>
        <family val="2"/>
      </rPr>
      <t xml:space="preserve">¡Importante! </t>
    </r>
    <r>
      <rPr>
        <sz val="12"/>
        <color theme="1"/>
        <rFont val="Arial"/>
        <family val="2"/>
      </rPr>
      <t xml:space="preserve">De acuerdo con el Decreto 2231 de 2023 la aplicación del 25 % de renta exenta del numeral 10 del artículo 206 del ET aplica de forma general para asalariados/as.
La renta exenta en mención es el 25 % del valor total de los pagos laborales limitada anualmente a 790 UVT ($33.505.000) y el cálculo de esta renta exenta se realiza una vez se detraiga del valor total de los pagos laborales recibidos por el trabajador, los ingresos no constitutivos de renta, las deducciones y las demás rentas exentas aplicadas. 
En cuanto a los salarios integrales, de acuerdo con lo expuesto por la Dian en el Concepto 8899 de 2015 y lo mencionado en el parágrafo 2 del artículo 206 del ET, se interpreta que para el cálculo de esta renta exenta se tiene en cuenta el salario total integral (incluyendo el factor prestacional) como base de ingresos a la que luego de ingresos no constitutivos de renta ni ganancia ocasional, deducciones y rentas exentas se le aplicaría el 25 % de renta exenta. </t>
    </r>
  </si>
  <si>
    <r>
      <rPr>
        <b/>
        <sz val="12"/>
        <color theme="1"/>
        <rFont val="Arial"/>
        <family val="2"/>
      </rPr>
      <t>Casilla 126</t>
    </r>
    <r>
      <rPr>
        <sz val="12"/>
        <color theme="1"/>
        <rFont val="Arial"/>
        <family val="2"/>
      </rPr>
      <t xml:space="preserve">
Impuesto neto de renta</t>
    </r>
  </si>
  <si>
    <r>
      <rPr>
        <b/>
        <sz val="12"/>
        <color theme="1"/>
        <rFont val="Arial"/>
        <family val="2"/>
      </rPr>
      <t>Casilla 127</t>
    </r>
    <r>
      <rPr>
        <sz val="12"/>
        <color theme="1"/>
        <rFont val="Arial"/>
        <family val="2"/>
      </rPr>
      <t xml:space="preserve">
Impuesto de ganancias ocasionales</t>
    </r>
  </si>
  <si>
    <t>CASILLAS 126 a 129
Impuesto neto de renta y de ganancia ocasional</t>
  </si>
  <si>
    <r>
      <rPr>
        <b/>
        <sz val="12"/>
        <color theme="1"/>
        <rFont val="Arial"/>
        <family val="2"/>
      </rPr>
      <t>Casilla 128</t>
    </r>
    <r>
      <rPr>
        <sz val="12"/>
        <color theme="1"/>
        <rFont val="Arial"/>
        <family val="2"/>
      </rPr>
      <t xml:space="preserve">
Descuento por impuestos pagados en el exterior por ganancias ocasionales</t>
    </r>
  </si>
  <si>
    <r>
      <rPr>
        <b/>
        <sz val="12"/>
        <color theme="1"/>
        <rFont val="Arial"/>
        <family val="2"/>
      </rPr>
      <t>Casilla 129</t>
    </r>
    <r>
      <rPr>
        <sz val="12"/>
        <color theme="1"/>
        <rFont val="Arial"/>
        <family val="2"/>
      </rPr>
      <t xml:space="preserve">
Total impuesto a cargo</t>
    </r>
  </si>
  <si>
    <t>CASILLAS 130 a 133
Liquidación privada (anticipos 2022, retenciones 2023 y saldo a favor 2022)</t>
  </si>
  <si>
    <r>
      <rPr>
        <b/>
        <sz val="12"/>
        <color theme="1"/>
        <rFont val="Arial"/>
        <family val="2"/>
      </rPr>
      <t>Casilla 130</t>
    </r>
    <r>
      <rPr>
        <sz val="12"/>
        <color theme="1"/>
        <rFont val="Arial"/>
        <family val="2"/>
      </rPr>
      <t xml:space="preserve">
Anticipo de renta liquidado en el año gravable anterior</t>
    </r>
  </si>
  <si>
    <r>
      <rPr>
        <b/>
        <sz val="12"/>
        <color theme="1"/>
        <rFont val="Arial"/>
        <family val="2"/>
      </rPr>
      <t>Casilla 131</t>
    </r>
    <r>
      <rPr>
        <sz val="12"/>
        <color theme="1"/>
        <rFont val="Arial"/>
        <family val="2"/>
      </rPr>
      <t xml:space="preserve">
Saldo a favor del año gravable anterior </t>
    </r>
  </si>
  <si>
    <t>Se deben ingresar los saldos a favor que se traen desde 2022 para los que no se realizaron solicitud de devolución y/o compensación en períodos anteriores.</t>
  </si>
  <si>
    <t>Se debe ingresar el anticipo de renta liquidado en el año 2022 que estaría a favor en esta declaración de 2023.</t>
  </si>
  <si>
    <r>
      <rPr>
        <b/>
        <sz val="12"/>
        <color theme="1"/>
        <rFont val="Arial"/>
        <family val="2"/>
      </rPr>
      <t>Casilla 132</t>
    </r>
    <r>
      <rPr>
        <sz val="12"/>
        <color theme="1"/>
        <rFont val="Arial"/>
        <family val="2"/>
      </rPr>
      <t xml:space="preserve">
Retenciones del año gravable a declarar</t>
    </r>
  </si>
  <si>
    <t>Ingresar el total de retenciones que le hayan realizado a título de renta o ganancia ocasional.</t>
  </si>
  <si>
    <r>
      <rPr>
        <b/>
        <sz val="12"/>
        <color theme="1"/>
        <rFont val="Arial"/>
        <family val="2"/>
      </rPr>
      <t>Casilla 133</t>
    </r>
    <r>
      <rPr>
        <sz val="12"/>
        <color theme="1"/>
        <rFont val="Arial"/>
        <family val="2"/>
      </rPr>
      <t xml:space="preserve">
Anticipo de renta para el año gravable siguiente</t>
    </r>
  </si>
  <si>
    <t>Descarga la herramienta para calcular el anticipo del impuesto de renta 2024</t>
  </si>
  <si>
    <r>
      <rPr>
        <b/>
        <sz val="12"/>
        <color theme="1"/>
        <rFont val="Arial"/>
        <family val="2"/>
      </rPr>
      <t>Casilla 134</t>
    </r>
    <r>
      <rPr>
        <sz val="12"/>
        <color theme="1"/>
        <rFont val="Arial"/>
        <family val="2"/>
      </rPr>
      <t xml:space="preserve">
Saldo a pagar por impuesto</t>
    </r>
  </si>
  <si>
    <r>
      <rPr>
        <b/>
        <sz val="12"/>
        <color theme="1"/>
        <rFont val="Arial"/>
        <family val="2"/>
      </rPr>
      <t>Casilla 135</t>
    </r>
    <r>
      <rPr>
        <sz val="12"/>
        <color theme="1"/>
        <rFont val="Arial"/>
        <family val="2"/>
      </rPr>
      <t xml:space="preserve">
Sanciones</t>
    </r>
  </si>
  <si>
    <r>
      <rPr>
        <b/>
        <sz val="12"/>
        <color theme="1"/>
        <rFont val="Arial"/>
        <family val="2"/>
      </rPr>
      <t>Casilla 136</t>
    </r>
    <r>
      <rPr>
        <sz val="12"/>
        <color theme="1"/>
        <rFont val="Arial"/>
        <family val="2"/>
      </rPr>
      <t xml:space="preserve">
Total saldo a pagar</t>
    </r>
  </si>
  <si>
    <r>
      <rPr>
        <b/>
        <sz val="12"/>
        <color theme="1"/>
        <rFont val="Arial"/>
        <family val="2"/>
      </rPr>
      <t>Casilla 137</t>
    </r>
    <r>
      <rPr>
        <sz val="12"/>
        <color theme="1"/>
        <rFont val="Arial"/>
        <family val="2"/>
      </rPr>
      <t xml:space="preserve">
Total saldo a favor</t>
    </r>
  </si>
  <si>
    <r>
      <rPr>
        <b/>
        <sz val="12"/>
        <color theme="1"/>
        <rFont val="Arial"/>
        <family val="2"/>
      </rPr>
      <t>Casilla 141</t>
    </r>
    <r>
      <rPr>
        <sz val="12"/>
        <color theme="1"/>
        <rFont val="Arial"/>
        <family val="2"/>
      </rPr>
      <t xml:space="preserve">
Aporte voluntario</t>
    </r>
  </si>
  <si>
    <t>CASILLAS 134 a 137 y 141
Saldo a pagar o a favor, aporte voluntario y pago total</t>
  </si>
  <si>
    <t>Herramienta para liquidar sanción por extemporaneidad en la declaración de renta</t>
  </si>
  <si>
    <t>¿Cómo realizar una corrección en la declaración de renta?</t>
  </si>
  <si>
    <t>Se deben ingresar los impuestos pagados en el exterior a descontar del impuesto de ganancias ocasionales en virtud de lo establecido en convenios vigentes para evitar la doble tributación.</t>
  </si>
  <si>
    <t>Descuentos tributarios en renta de personas naturales a partir del año gravable 2023</t>
  </si>
  <si>
    <t>Para este caso de persona natural asalariada sería el mismo valor de la casilla 116</t>
  </si>
  <si>
    <r>
      <rPr>
        <b/>
        <sz val="12"/>
        <color theme="1"/>
        <rFont val="Arial"/>
        <family val="2"/>
      </rPr>
      <t>Casilla 112</t>
    </r>
    <r>
      <rPr>
        <sz val="12"/>
        <color theme="1"/>
        <rFont val="Arial"/>
        <family val="2"/>
      </rPr>
      <t xml:space="preserve">
Ingresos por ganancias ocasionales del país y del exterior</t>
    </r>
  </si>
  <si>
    <r>
      <rPr>
        <b/>
        <sz val="12"/>
        <color theme="1"/>
        <rFont val="Arial"/>
        <family val="2"/>
      </rPr>
      <t>Casilla 113</t>
    </r>
    <r>
      <rPr>
        <sz val="12"/>
        <color theme="1"/>
        <rFont val="Arial"/>
        <family val="2"/>
      </rPr>
      <t xml:space="preserve">
Costos por ganancias ocasionales</t>
    </r>
  </si>
  <si>
    <r>
      <rPr>
        <b/>
        <sz val="12"/>
        <color theme="1"/>
        <rFont val="Arial"/>
        <family val="2"/>
      </rPr>
      <t>Casilla 114</t>
    </r>
    <r>
      <rPr>
        <sz val="12"/>
        <color theme="1"/>
        <rFont val="Arial"/>
        <family val="2"/>
      </rPr>
      <t xml:space="preserve">
Ganancias ocasionales no gravadas y exentas</t>
    </r>
  </si>
  <si>
    <r>
      <rPr>
        <b/>
        <sz val="12"/>
        <color theme="1"/>
        <rFont val="Arial"/>
        <family val="2"/>
      </rPr>
      <t>Casilla 115</t>
    </r>
    <r>
      <rPr>
        <sz val="12"/>
        <color theme="1"/>
        <rFont val="Arial"/>
        <family val="2"/>
      </rPr>
      <t xml:space="preserve">
Ganancias ocasionales gravables</t>
    </r>
  </si>
  <si>
    <t>En caso de tratarse de una ganancia ocasional por concepto de loterías, rifas o apuestas se debe reemplazar el 15 % por la tarifa del 20 % (artículo 313 y siguientes del Estatuto Tributario).</t>
  </si>
  <si>
    <t>7 respuestas esenciales para entender cómo funciona la compensación de pérdidas fiscales.</t>
  </si>
  <si>
    <t>Se pueden compensar los excesos en renta presuntiva, hasta el valor de renta líquida ordinaria cédula general del periodo fiscal correspondiente (ver el artículo 189 del Estatuto Tributario).</t>
  </si>
  <si>
    <t>En esta casilla se deben ingresar las pérdidas que se hayan generado en el año 2018 y anteriores. Para entender cómo funciona la compensación de pérdida, se recomienda revisar el artículo 330 del Estatuto Tributario, el artículo 1.2.1.20.6 del Decreto 1625 de 2016 y el siguiente contenido:</t>
  </si>
  <si>
    <t>Es la renta líquida de la cédula general antes de restar las rentas exentas y deducciones limitadas.</t>
  </si>
  <si>
    <t>Se deben incluir rentas líquidas gravables por alguno de los siguientes conceptos:
- Activos omitidos y pasivos inexistentes (artículo 239-1 del Estatuto Tributario).
- Recuperación de deducciones (artículos 90 y 196 del Estatuto Tributario).
- Renta por comparación patrimonial no justificada (este concepto sólo es liquidado por la Dian).
- Renta líquida gravable producto de adición de ingresos presuntos por omisión del registro de compras, entre otros.</t>
  </si>
  <si>
    <t>Las condiciones para el cálculo de la renta presuntiva se encuentran expuestas en el artículo 189 del Estatuto Tributario, no obstante, a partir de 2021 el porcentaje de renta presuntiva es cero.</t>
  </si>
  <si>
    <t>Se debe incluir el costo fiscal de los bienes o activos sobre los que se generó la ganancia ocasional.</t>
  </si>
  <si>
    <t>Diferentes límites</t>
  </si>
  <si>
    <t>Total rentas exentas y deducciones que no están sometidas al límite general</t>
  </si>
  <si>
    <r>
      <rPr>
        <b/>
        <sz val="12"/>
        <color theme="1"/>
        <rFont val="Arial"/>
        <family val="2"/>
      </rPr>
      <t>Casilla 124</t>
    </r>
    <r>
      <rPr>
        <sz val="12"/>
        <color theme="1"/>
        <rFont val="Arial"/>
        <family val="2"/>
      </rPr>
      <t xml:space="preserve">
Dividendos, participaciones y otros </t>
    </r>
  </si>
  <si>
    <t>Artículos 257-1, 258 y 259-1 del Estatuto Tributario.</t>
  </si>
  <si>
    <t>Ingresar el valor efectivo del descuento. Para ampliar los conocimientos sobre descuentos tributarios y sus límites, se recomienda revisar el siguiente artículo:</t>
  </si>
  <si>
    <t>Bien inmueble 1 - Nro. Predial xxxxx1</t>
  </si>
  <si>
    <t>Bien inmueble 2 - Nro. Predial xxxxx2</t>
  </si>
  <si>
    <t>Bien inmueble 3 - Nro. Predial xxxxx3</t>
  </si>
  <si>
    <t>Vehículo 1 - placa xxx1</t>
  </si>
  <si>
    <t>Vehículo 2 - placa xxx1</t>
  </si>
  <si>
    <t>Vehículo 3 - placa xxx1</t>
  </si>
  <si>
    <t>Anticipo de renta para 2024</t>
  </si>
  <si>
    <t>Impuesto por pagar</t>
  </si>
  <si>
    <r>
      <rPr>
        <b/>
        <sz val="12"/>
        <color theme="1"/>
        <rFont val="Arial"/>
        <family val="2"/>
      </rPr>
      <t>Casilla 29</t>
    </r>
    <r>
      <rPr>
        <sz val="12"/>
        <color theme="1"/>
        <rFont val="Arial"/>
        <family val="2"/>
      </rPr>
      <t xml:space="preserve">
Patrimonio bruto</t>
    </r>
  </si>
  <si>
    <r>
      <rPr>
        <b/>
        <sz val="12"/>
        <color theme="1"/>
        <rFont val="Arial"/>
        <family val="2"/>
      </rPr>
      <t>Casilla 30</t>
    </r>
    <r>
      <rPr>
        <sz val="12"/>
        <color theme="1"/>
        <rFont val="Arial"/>
        <family val="2"/>
      </rPr>
      <t xml:space="preserve">
Deudas</t>
    </r>
  </si>
  <si>
    <t>Valor extraído del reporte de ingresos. El límite varía en la celda E59 dependiendo del promedio salarial.</t>
  </si>
  <si>
    <t>Valor extraído del reporte de ingresos. El límite varía en la celda E60 dependiendo del promedio salarial.</t>
  </si>
  <si>
    <t>Ver depuración de esta renta exenta en la fila 107 y siguientes</t>
  </si>
  <si>
    <t>Los rubros expuestos en las celdas E115 (40 % del ingreso neto) y E116 (1.340 UVT) permiten validar el límite general de rentas exentas y deducciones.
Se debe tener en cuenta que este límite aplica a toda la cédula general, para este caso de asalariado solo se están atendiendo los parámetros de la subcédula de rentas de trabajo.</t>
  </si>
  <si>
    <t xml:space="preserve">Para conocer más sobre las ganancias ocasionales. Se recomienda revisar los artículos 27 y 299 y siguientes del Estatuto Tributario. </t>
  </si>
  <si>
    <t>Se deben incluir las ganancias ocasionales exentas. Se recomienda revisar el artículo 307 y 303-1 del Estatuto Tributario</t>
  </si>
  <si>
    <t>Se debe revisar si hay descuentos a los que le sean aplicables los límites los artículos 257-1, 258 y 259-1 del Estatuto Tributario.</t>
  </si>
  <si>
    <t>Se debe ingresar el valor el anticipo de renta para el año gravable 2024. Se recomienda revisar la siguiente herramienta para conocer cómo se halla este valor:</t>
  </si>
  <si>
    <t>Ingresar el total de retenciones que le hayan realizado a la persona natural asalariada por concepto de renta o ganancia ocasional en 2023.</t>
  </si>
  <si>
    <t>Se debe ingresar el valor de la sanción a cargo teniendo en cuenta que no puede ser inferior a 10 UVT. Con los siguientes contenidos puedes ampliar tus conocimientos sobre sanciones:</t>
  </si>
  <si>
    <t>Valor que se quiere incluir como aporte voluntario (artículo 244-1 del ET).</t>
  </si>
  <si>
    <t xml:space="preserve">A continuación, encontrarás todo el contexto y la referencia normativa de apoyo para que estés Siempre Al Día en la depuración y cálculos relacionados con la hoja "Caso DRPN 2023 asalariados".
Ten en cuenta que, podrás desplazarte por cada botón azul que se encuentra a la derecha de cada concepto para ir o volver a la hoja "Caso DRPN 2023 asalariados" y conocer los valores y fórmulas asociadas al concepto que estés leyendo. </t>
  </si>
  <si>
    <r>
      <t xml:space="preserve">Con esta herramienta se pueden realizar diferentes simulaciones para </t>
    </r>
    <r>
      <rPr>
        <b/>
        <sz val="12"/>
        <color theme="1"/>
        <rFont val="Arial"/>
        <family val="2"/>
      </rPr>
      <t>depurar la renta líquida y calcular el impuesto a cargo para las personas naturales asalariadas por el año gravable 2023 que no están obligadas a llevar contabilidad</t>
    </r>
    <r>
      <rPr>
        <sz val="12"/>
        <color theme="1"/>
        <rFont val="Arial"/>
        <family val="2"/>
      </rPr>
      <t xml:space="preserve">. Está diseñada con base en el formulario 210 emitido por la Dian para la presentación por parte de personas naturales residentes en Colombia y sus fórmulas están orientadas a la </t>
    </r>
    <r>
      <rPr>
        <b/>
        <sz val="12"/>
        <color theme="1"/>
        <rFont val="Arial"/>
        <family val="2"/>
      </rPr>
      <t>subcédula de rentas de trabajo, incluyendo la depuración de la cédula general, los reportes de patrimonio, la depuración del impuesto por ganancia ocasional, etc.</t>
    </r>
    <r>
      <rPr>
        <sz val="12"/>
        <color theme="1"/>
        <rFont val="Arial"/>
        <family val="2"/>
      </rPr>
      <t xml:space="preserve">
Si bien, las rentas de trabajo son las que provienen o no de una relación laboral o legal y reglamentaria (tales como salarios, honorarios o compensaciones por servicios personales como comisiones, servicios, emolumentos y demás mencionadas en el artículo 103 del ET), para efectos de este formato las condiciones </t>
    </r>
    <r>
      <rPr>
        <b/>
        <sz val="12"/>
        <color theme="1"/>
        <rFont val="Arial"/>
        <family val="2"/>
      </rPr>
      <t>están adecuadas a una persona que ejerce una labor a través de contrato laboral.</t>
    </r>
    <r>
      <rPr>
        <sz val="12"/>
        <color theme="1"/>
        <rFont val="Arial"/>
        <family val="2"/>
      </rPr>
      <t xml:space="preserve">
También se debe tener en cuenta que, para efectos de este formato se hará referencia a diferentes disposiciones del Estatuto Tributario y el Decreto 1625 de 2016, resaltando los cambios realizados por la reforma tributaria Ley 2277 de 2022 (reglamentada por el Decreto 2231 de 2023).
Además, también es importante tener en cuenta que, mediante la Resolución 000044 de 2024 la Dian prescribió el formulario 210 que deberá ser empleado para la presentación de las declaraciones de renta de personas naturales y sucesiones ilíquidas residentes fiscales, correspondientes al año gravable 2023. No obstante, el 31 de julio de 2024 se dio a conocer una nueva versión de dicho formulario por parte de la Dian (ver Resolución 000120 de 2024). 
Esta herramienta contempla todas las novedades, si deseas saber más detalles sobre los cambios al formulario consulta nuestro artículo</t>
    </r>
  </si>
  <si>
    <t>Deducción por compras</t>
  </si>
  <si>
    <r>
      <t xml:space="preserve">La deducción por compra de bienes y/o servicios es el 1 % de las compras realizadas con soporte de factura electrónica y siempre y cuando el pago se haya realizado por medios electrónicos (tarjeta débito, crédito, transferencia, etc.)., todo esto sin que la compra necesariamente tenga relación de causalidad con la actividad productora de renta, en este caso el ejercicio como asalariado.
</t>
    </r>
    <r>
      <rPr>
        <b/>
        <sz val="12"/>
        <color theme="1"/>
        <rFont val="Arial"/>
        <family val="2"/>
      </rPr>
      <t xml:space="preserve">
El límite de esta deducción es de 240 UVT ($10.179.000 para 2023).
</t>
    </r>
    <r>
      <rPr>
        <sz val="12"/>
        <color theme="1"/>
        <rFont val="Arial"/>
        <family val="2"/>
      </rPr>
      <t xml:space="preserve">
Cabe anotar que, en la página de inicio de la plataforma Dian se incluyó un reporte de las facturas que se tienen identificadas desde la entidad, a fin de argumentar cuál será la deducción permitida, no obstante, cada contribuyente tendrá que validar de su facturación qué cumple con los requisitos y tener los respectivos soportes de las facturas. La información compartida por la Dian es solamente a título de guía, pero no funciona como soporte documental.</t>
    </r>
  </si>
  <si>
    <t>Cesantías de 2017 y siguientes</t>
  </si>
  <si>
    <t>Aportes a cuentas de ahorro para el fomento de la construcción AFC o de ahorro voluntario contractual AVC</t>
  </si>
  <si>
    <t>Gastos de representación exentos de los magistrados de los Tribunales, sus fiscales y procuradores judiciales</t>
  </si>
  <si>
    <t>Aportes voluntarios a fondos de pensiones</t>
  </si>
  <si>
    <t>CASILLAS 299 Y 28
Deducción por compras (numeral 5 del artículo 336 del Estatuto Tributario)</t>
  </si>
  <si>
    <r>
      <t>El reporte de cesantías vincula diferentes variables, principalmente para el reconocimiento de patrimonio, ingresos y rentas exentas se tendrá que evaluar si la persona natural asalariada está bajo el régimen tradicional o bajo el régimen posterior a la Ley 50 de 1990, si las cesantías e intereses a cesantías corresponden a 2016 y años anteriores o a 2017 años posteriores y cuándo fueron consignadas, pagadas o reconocidas en el pasivo del contratante las cesantías. Al respecto, ya se encuentran las condiciones expuestas en la herramienta en las</t>
    </r>
    <r>
      <rPr>
        <sz val="12"/>
        <rFont val="Arial"/>
        <family val="2"/>
      </rPr>
      <t xml:space="preserve"> filas 17 y 18</t>
    </r>
    <r>
      <rPr>
        <sz val="12"/>
        <color theme="1"/>
        <rFont val="Arial"/>
        <family val="2"/>
      </rPr>
      <t xml:space="preserve"> de la hoja "Caso DRPN 2023 asalariados" que permiten la clasificación de esta información para fines de ingresos y rentas exentas.
En cuanto a la clasificación como rentas exentas, las cesantías e intereses pueden estar sometidas a diferentes límites, por una parte, están sometidas al límite de rentas exentas del numeral 4 del artículo 206 del Estatuto Tributario que contempla el promedio salarial del trabajador y, por otra parte, las que corresponden a 2017 y años posteriores están sometidas al límite del artículo 336 del Estatuto Tributario (el total de rentas exentas y deducciones no pueden superar en conjunto el 40 % ni las 1.340 UVT al año ($56.832.000). 
Para conocer más detalles, te invitamos a consultar el artículo:</t>
    </r>
  </si>
  <si>
    <t>Hacen parte de las rentas de trabajo todas las expuestas en el artículo 103 del Estatuto Tributario (salarios, comisiones, honorarios, etc.). Para el caso de una persona natural asalariada en esta casilla ingresarán todos los pagos originados en la relación laboral o legal reglamentaria (constitutivos de salario o no).
Es importante resaltar que los pagos salariales se conforman del sueldo base y otros valores adicionales como comisiones, horas extra, recargos nocturnos, bonificaciones habituales, entre otros mencionados en el artículo 127 del CST. 
Por otra parte, los pagos no salariales son los expuestos en el artículo 128 del CST: bonificaciones ocasionales, participación de utilidades, primas extralegales u otros.</t>
  </si>
  <si>
    <t>De acuerdo con el artículo 336 del Estatuto Tributario y el Decreto 1625 de 2016 (luego de las modificaciones del Decreto 2231 de 2023) se expone que las rentas exentas y deducciones no pueden superar los límites particulares que existan para cada beneficio fiscal y adicionalmente, no pueden superar en conjunto el 40 % ni las 1.340 UVT al año ($56.832.000). 
Además, tal como lo evidencian los cálculos de esta herramienta, este límite general no aplica a las rentas exentas de los numerales 6, 7, 8 y 9 del artículo 206 del ET, ni a la prima especial ni a la prima de costo de vida del artículo 206-1 del ET, ni a los ingresos obtenidos por rentas de trabajo en países de la CAN conforme a lo expuso en el artículo 1.2.1.20.4 del Decreto 1625 de 2016.
Además, tampoco están sujetos a estos límites las deducciones que no fueron incorporadas en los cálculos de la subcédula de rentas de trabajo, pero que hacen parte de la depuración de la cédula general como: la nueva deducción por compras y la deducción adicional de 72 UVT por cada dependiente económico.</t>
  </si>
  <si>
    <t>Límite en la depuración de las rentas exentas y deducciones imputables a las rentas de trabajo</t>
  </si>
  <si>
    <t>¿Necesitas ayuda con la liquidación de la nómina de las empresas que tienes a cargo? ¡Conoce todo lo que Alegra Nómina tiene para ti! Crea tu cuenta y genera superpoderes para tu Pyme.</t>
  </si>
  <si>
    <r>
      <rPr>
        <b/>
        <sz val="12"/>
        <color theme="1"/>
        <rFont val="Arial"/>
        <family val="2"/>
      </rPr>
      <t>Nota:</t>
    </r>
    <r>
      <rPr>
        <sz val="12"/>
        <color theme="1"/>
        <rFont val="Arial"/>
        <family val="2"/>
      </rPr>
      <t xml:space="preserve"> los cálculos relacionados en esta herramienta reflejan la interpretación normativa que realizamos desde Alegra a título de guía, no obstante, como contador(a) público(a) debes realizar la revisión de las particularidades a las que haya lugar para el caso que asesoras o las acciones que ya haya en curso con la Dian, en Alegra no somos responsables de las interpretaciones, operaciones o información derivada del uso de esta herramienta.  </t>
    </r>
  </si>
  <si>
    <r>
      <t xml:space="preserve">En esta hoja de cálculo encuentras una herramienta para que practiques cómo realizar la depuración de la subcédula de rentas de trabajo en 2023 y calcular el impuesto de renta para el caso de una persona natural residente, asalariada y no obligada a llevar contabilidad. Antes de utilizarla, debes tener en cuenta las siguientes instrucciones: 
</t>
    </r>
    <r>
      <rPr>
        <b/>
        <sz val="12"/>
        <color theme="1"/>
        <rFont val="Arial"/>
        <family val="2"/>
      </rPr>
      <t xml:space="preserve">Diligenciamiento: </t>
    </r>
    <r>
      <rPr>
        <sz val="12"/>
        <color theme="1"/>
        <rFont val="Arial"/>
        <family val="2"/>
      </rPr>
      <t xml:space="preserve">es necesario validar o diligenciar los campos en gris claro y leer las notas de apoyo de la columna "Comentario" para cada fila correspondiente. 
</t>
    </r>
    <r>
      <rPr>
        <b/>
        <sz val="12"/>
        <color theme="1"/>
        <rFont val="Arial"/>
        <family val="2"/>
      </rPr>
      <t>Fórmulas:</t>
    </r>
    <r>
      <rPr>
        <sz val="12"/>
        <color theme="1"/>
        <rFont val="Arial"/>
        <family val="2"/>
      </rPr>
      <t xml:space="preserve"> las celdas recomendadas para edición son las que están en gris claro, las demás se encuentran formuladas y en fondo blanco. El archivo es totalmente editable y libre de bloqueos, se debe tener cuidado con borrar alguna fórmula.
</t>
    </r>
    <r>
      <rPr>
        <b/>
        <sz val="12"/>
        <color theme="1"/>
        <rFont val="Arial"/>
        <family val="2"/>
      </rPr>
      <t xml:space="preserve">Contexto y normativa: </t>
    </r>
    <r>
      <rPr>
        <sz val="12"/>
        <color theme="1"/>
        <rFont val="Arial"/>
        <family val="2"/>
      </rPr>
      <t>en caso de que requieras conocer el contexto y la referencia normativa de cada criterio incluido en la depuración de la subcédula de rentas de trabajo para una persona asalariada, en la hoja "Contexto y normativa DRPN 2023" de este archivo de Excel está todo el detalle. Puedes desplazarte desde esta hoja de cálculo con los botones azules que están alojados a la derecha de las siguientes tablas para cada concepto en el que quieras profundizar.</t>
    </r>
  </si>
  <si>
    <t>Este número de dependientes es extraído de la celda D87.
Se debe tener en cuenta que en las casillas 241, 242, 244, 287, 288, 289, 290, 291, 292, 293, 294 y 295 se tendrán que relacionar los datos personales de estos dependientes económicos en la plataforma de la Dian.</t>
  </si>
  <si>
    <t>Para el caso de asalariados aplican ambos beneficios por deducción de dependientes, el resultado de la celda F88 y el de la F98 (artículos 387 y 336 del Estatuto Tributario).
Sólo el resultado expuesto en esta fila se evidencia en la casilla 139 y es sumada al total de la casilla 92 en el formulario 210.</t>
  </si>
  <si>
    <t>CASILLAS 91 A 98 Y 111 
Depuración de renta líquida gravable cédula general y renta presuntiva</t>
  </si>
  <si>
    <t>Contenido elaborado: 
Septiembre 3 de 2024</t>
  </si>
  <si>
    <t>Este valor será sumado de forma automática en la plataforma de la Dian a la casilla 92 del formulario 210 por lo que no se tendrá en cuenta en la depuración de las deducciones de las casillas 38 y 39.</t>
  </si>
  <si>
    <t>Se debe indicar en la celda D88 el número de dependientes económicos, teniendo en cuenta que se limita el beneficio a 4 como máximo.
Sólo el resultado expuesto en esta fila se tendrá en cuenta en la suma de deducciones de la casilla 39.
Para el caso de asalariados aplican ambos beneficios por deducción de dependientes, el resultado de esta celda F88 y el de la F98 (artículos 336 y 387 del Estatuto Tributario).
La deducción por dependientes adicional expuesta en la celda F98 (artículo 336 del Estatuto Tributario) se evidencia en la casilla 139 y es sumada al total de la casilla 92 en el formulario 210.
Nota: en la plataforma de la Dian, en las casillas 357, 358 y 359 se tendrá que relacionar el dependiente económico que da lugar a esta deducción.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</si>
</sst>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quot;$&quot;* #,##0.00_-;_-&quot;$&quot;* &quot;-&quot;??_-;_-@_-"/>
    <numFmt numFmtId="43" formatCode="_-* #,##0.00_-;\-* #,##0.00_-;_-* &quot;-&quot;??_-;_-@_-"/>
    <numFmt numFmtId="164" formatCode="&quot;$&quot;#,##0"/>
    <numFmt numFmtId="165" formatCode="_-&quot;$&quot;* #,##0_-;\-&quot;$&quot;* #,##0_-;_-&quot;$&quot;* &quot;-&quot;??_-;_-@_-"/>
    <numFmt numFmtId="166" formatCode="_-* #,##0_-;\-* #,##0_-;_-* &quot;-&quot;??_-;_-@_-"/>
  </numFmts>
  <fonts count="21" x14ac:knownFonts="1">
    <font>
      <sz val="11"/>
      <color theme="1"/>
      <name val="Calibri"/>
      <family val="2"/>
      <scheme val="minor"/>
    </font>
    <font>
      <sz val="11"/>
      <color theme="1"/>
      <name val="Calibri"/>
      <family val="2"/>
      <scheme val="minor"/>
    </font>
    <font>
      <sz val="12"/>
      <color theme="1"/>
      <name val="Arial"/>
      <family val="2"/>
    </font>
    <font>
      <b/>
      <sz val="12"/>
      <color rgb="FFFFFFFF"/>
      <name val="Arial"/>
      <family val="2"/>
    </font>
    <font>
      <b/>
      <sz val="12"/>
      <color theme="1"/>
      <name val="Arial"/>
      <family val="2"/>
    </font>
    <font>
      <sz val="12"/>
      <name val="Arial"/>
      <family val="2"/>
    </font>
    <font>
      <b/>
      <sz val="20"/>
      <color rgb="FF00D6BC"/>
      <name val="Arial"/>
      <family val="2"/>
    </font>
    <font>
      <b/>
      <sz val="12"/>
      <color rgb="FF00D6BC"/>
      <name val="Arial"/>
      <family val="2"/>
    </font>
    <font>
      <u/>
      <sz val="11"/>
      <color theme="10"/>
      <name val="Calibri"/>
      <family val="2"/>
      <scheme val="minor"/>
    </font>
    <font>
      <b/>
      <u/>
      <sz val="12"/>
      <color theme="10"/>
      <name val="Arial"/>
      <family val="2"/>
    </font>
    <font>
      <b/>
      <sz val="8"/>
      <color rgb="FF334155"/>
      <name val="Arial"/>
      <family val="2"/>
    </font>
    <font>
      <sz val="12"/>
      <color rgb="FFFF0000"/>
      <name val="Arial"/>
      <family val="2"/>
    </font>
    <font>
      <b/>
      <sz val="14"/>
      <color rgb="FFFFFFFF"/>
      <name val="Arial"/>
      <family val="2"/>
    </font>
    <font>
      <sz val="9"/>
      <name val="Arial"/>
      <family val="2"/>
    </font>
    <font>
      <b/>
      <sz val="12"/>
      <color rgb="FF00535E"/>
      <name val="Arial"/>
      <family val="2"/>
    </font>
    <font>
      <sz val="10"/>
      <color theme="1"/>
      <name val="Arial"/>
      <family val="2"/>
    </font>
    <font>
      <b/>
      <sz val="16"/>
      <color rgb="FFFFFFFF"/>
      <name val="Arial"/>
      <family val="2"/>
    </font>
    <font>
      <i/>
      <u/>
      <sz val="12"/>
      <color rgb="FF00535E"/>
      <name val="Arial"/>
      <family val="2"/>
    </font>
    <font>
      <i/>
      <u/>
      <sz val="12"/>
      <color theme="10"/>
      <name val="Arial"/>
      <family val="2"/>
    </font>
    <font>
      <b/>
      <sz val="10"/>
      <color theme="1"/>
      <name val="Arial"/>
      <family val="2"/>
    </font>
    <font>
      <u/>
      <sz val="12"/>
      <color theme="10"/>
      <name val="Arial"/>
      <family val="2"/>
    </font>
  </fonts>
  <fills count="14">
    <fill>
      <patternFill patternType="none"/>
    </fill>
    <fill>
      <patternFill patternType="gray125"/>
    </fill>
    <fill>
      <patternFill patternType="solid">
        <fgColor theme="0"/>
        <bgColor indexed="64"/>
      </patternFill>
    </fill>
    <fill>
      <patternFill patternType="solid">
        <fgColor theme="0"/>
        <bgColor rgb="FFFFF2CC"/>
      </patternFill>
    </fill>
    <fill>
      <patternFill patternType="solid">
        <fgColor rgb="FF00D6BC"/>
        <bgColor rgb="FF073763"/>
      </patternFill>
    </fill>
    <fill>
      <patternFill patternType="solid">
        <fgColor rgb="FFCFF2F1"/>
        <bgColor rgb="FFCFF2F1"/>
      </patternFill>
    </fill>
    <fill>
      <patternFill patternType="solid">
        <fgColor rgb="FFF1F5F9"/>
        <bgColor indexed="64"/>
      </patternFill>
    </fill>
    <fill>
      <patternFill patternType="solid">
        <fgColor rgb="FFE2E8F0"/>
        <bgColor rgb="FFE2E8F0"/>
      </patternFill>
    </fill>
    <fill>
      <patternFill patternType="solid">
        <fgColor theme="0"/>
        <bgColor theme="0"/>
      </patternFill>
    </fill>
    <fill>
      <patternFill patternType="solid">
        <fgColor rgb="FF66FF99"/>
        <bgColor indexed="64"/>
      </patternFill>
    </fill>
    <fill>
      <patternFill patternType="solid">
        <fgColor rgb="FFE2E8F0"/>
        <bgColor rgb="FFFFF2CC"/>
      </patternFill>
    </fill>
    <fill>
      <patternFill patternType="solid">
        <fgColor rgb="FFE2E8F0"/>
        <bgColor indexed="64"/>
      </patternFill>
    </fill>
    <fill>
      <patternFill patternType="solid">
        <fgColor theme="3" tint="0.79998168889431442"/>
        <bgColor indexed="64"/>
      </patternFill>
    </fill>
    <fill>
      <patternFill patternType="solid">
        <fgColor rgb="FF66FF99"/>
        <bgColor rgb="FFFFF2CC"/>
      </patternFill>
    </fill>
  </fills>
  <borders count="2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right/>
      <top style="thin">
        <color theme="0" tint="-0.249977111117893"/>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249977111117893"/>
      </bottom>
      <diagonal/>
    </border>
    <border>
      <left style="thin">
        <color theme="0" tint="-0.249977111117893"/>
      </left>
      <right style="thin">
        <color theme="0" tint="-0.249977111117893"/>
      </right>
      <top/>
      <bottom/>
      <diagonal/>
    </border>
  </borders>
  <cellStyleXfs count="5">
    <xf numFmtId="0" fontId="0" fillId="0" borderId="0"/>
    <xf numFmtId="44" fontId="1" fillId="0" borderId="0" applyFont="0" applyFill="0" applyBorder="0" applyAlignment="0" applyProtection="0"/>
    <xf numFmtId="0" fontId="8" fillId="0" borderId="0" applyNumberForma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211">
    <xf numFmtId="0" fontId="0" fillId="0" borderId="0" xfId="0"/>
    <xf numFmtId="0" fontId="2" fillId="2" borderId="0" xfId="0" applyFont="1" applyFill="1"/>
    <xf numFmtId="0" fontId="0" fillId="2" borderId="0" xfId="0" applyFill="1"/>
    <xf numFmtId="0" fontId="3" fillId="4" borderId="1" xfId="0" applyFont="1" applyFill="1" applyBorder="1" applyAlignment="1">
      <alignment horizontal="center" vertical="center" wrapText="1"/>
    </xf>
    <xf numFmtId="0" fontId="2" fillId="2" borderId="0" xfId="0" applyFont="1" applyFill="1" applyAlignment="1">
      <alignment wrapText="1"/>
    </xf>
    <xf numFmtId="0" fontId="3" fillId="2" borderId="0" xfId="0" applyFont="1" applyFill="1" applyAlignment="1">
      <alignment horizontal="center" vertical="center"/>
    </xf>
    <xf numFmtId="44" fontId="2" fillId="2" borderId="0" xfId="1" applyFont="1" applyFill="1"/>
    <xf numFmtId="0" fontId="0" fillId="6" borderId="0" xfId="0" applyFill="1"/>
    <xf numFmtId="0" fontId="2" fillId="2" borderId="0" xfId="0" applyFont="1" applyFill="1" applyAlignment="1">
      <alignment vertical="center"/>
    </xf>
    <xf numFmtId="0" fontId="10" fillId="8" borderId="0" xfId="0" applyFont="1" applyFill="1" applyAlignment="1">
      <alignment vertical="center" wrapText="1"/>
    </xf>
    <xf numFmtId="0" fontId="2" fillId="2" borderId="0" xfId="0" applyFont="1" applyFill="1" applyAlignment="1">
      <alignment horizontal="left" vertical="center" wrapText="1"/>
    </xf>
    <xf numFmtId="0" fontId="3" fillId="4" borderId="1" xfId="0" applyFont="1" applyFill="1" applyBorder="1" applyAlignment="1">
      <alignment horizontal="center" vertical="center"/>
    </xf>
    <xf numFmtId="0" fontId="2" fillId="2" borderId="1" xfId="0" applyFont="1" applyFill="1" applyBorder="1"/>
    <xf numFmtId="0" fontId="11" fillId="2" borderId="0" xfId="0" applyFont="1" applyFill="1"/>
    <xf numFmtId="0" fontId="10" fillId="8" borderId="0" xfId="0" applyFont="1" applyFill="1" applyAlignment="1">
      <alignment horizontal="center" vertical="top" wrapText="1"/>
    </xf>
    <xf numFmtId="164" fontId="2" fillId="3" borderId="6" xfId="0" applyNumberFormat="1" applyFont="1" applyFill="1" applyBorder="1" applyAlignment="1">
      <alignment horizontal="center" vertical="center"/>
    </xf>
    <xf numFmtId="165" fontId="2" fillId="2" borderId="0" xfId="0" applyNumberFormat="1" applyFont="1" applyFill="1" applyAlignment="1">
      <alignment vertical="center"/>
    </xf>
    <xf numFmtId="0" fontId="2" fillId="2" borderId="0" xfId="0" applyFont="1" applyFill="1" applyAlignment="1">
      <alignment vertical="center" wrapText="1"/>
    </xf>
    <xf numFmtId="165" fontId="2" fillId="3" borderId="1" xfId="1" applyNumberFormat="1" applyFont="1" applyFill="1" applyBorder="1" applyAlignment="1">
      <alignment horizontal="center" vertical="center" wrapText="1"/>
    </xf>
    <xf numFmtId="165" fontId="2" fillId="3" borderId="9" xfId="1" applyNumberFormat="1" applyFont="1" applyFill="1" applyBorder="1" applyAlignment="1">
      <alignment horizontal="center" vertical="center"/>
    </xf>
    <xf numFmtId="165" fontId="2" fillId="3" borderId="6" xfId="1" applyNumberFormat="1" applyFont="1" applyFill="1" applyBorder="1" applyAlignment="1">
      <alignment horizontal="center" vertical="center"/>
    </xf>
    <xf numFmtId="165" fontId="2" fillId="0" borderId="1" xfId="1" applyNumberFormat="1" applyFont="1" applyBorder="1" applyAlignment="1">
      <alignment horizontal="right" vertical="center"/>
    </xf>
    <xf numFmtId="165" fontId="2" fillId="0" borderId="5" xfId="1" applyNumberFormat="1" applyFont="1" applyBorder="1" applyAlignment="1">
      <alignment vertical="center"/>
    </xf>
    <xf numFmtId="165" fontId="2" fillId="0" borderId="1" xfId="1" applyNumberFormat="1" applyFont="1" applyBorder="1" applyAlignment="1">
      <alignment vertical="center"/>
    </xf>
    <xf numFmtId="164" fontId="4" fillId="3" borderId="6" xfId="0" applyNumberFormat="1" applyFont="1" applyFill="1" applyBorder="1" applyAlignment="1">
      <alignment horizontal="center" vertical="center"/>
    </xf>
    <xf numFmtId="165" fontId="2" fillId="0" borderId="1" xfId="0" applyNumberFormat="1" applyFont="1" applyBorder="1" applyAlignment="1">
      <alignment horizontal="right" vertical="center"/>
    </xf>
    <xf numFmtId="165" fontId="2" fillId="3" borderId="6" xfId="1" applyNumberFormat="1" applyFont="1" applyFill="1" applyBorder="1" applyAlignment="1">
      <alignment horizontal="center" vertical="center" wrapText="1"/>
    </xf>
    <xf numFmtId="165" fontId="4" fillId="2" borderId="1" xfId="0" applyNumberFormat="1" applyFont="1" applyFill="1" applyBorder="1" applyAlignment="1">
      <alignment vertical="center"/>
    </xf>
    <xf numFmtId="0" fontId="3" fillId="4" borderId="12" xfId="0" applyFont="1" applyFill="1" applyBorder="1" applyAlignment="1">
      <alignment vertical="center"/>
    </xf>
    <xf numFmtId="165" fontId="2" fillId="2" borderId="12" xfId="1" applyNumberFormat="1" applyFont="1" applyFill="1" applyBorder="1" applyAlignment="1">
      <alignment vertical="center" wrapText="1"/>
    </xf>
    <xf numFmtId="0" fontId="6" fillId="2" borderId="0" xfId="0" applyFont="1" applyFill="1" applyAlignment="1">
      <alignment vertical="center" wrapText="1"/>
    </xf>
    <xf numFmtId="0" fontId="13" fillId="2" borderId="0" xfId="0" applyFont="1" applyFill="1"/>
    <xf numFmtId="0" fontId="5" fillId="2" borderId="0" xfId="0" applyFont="1" applyFill="1" applyAlignment="1">
      <alignment horizontal="left" vertical="center" wrapText="1"/>
    </xf>
    <xf numFmtId="165" fontId="2" fillId="10" borderId="6" xfId="1" applyNumberFormat="1" applyFont="1" applyFill="1" applyBorder="1" applyAlignment="1">
      <alignment horizontal="center" vertical="center" wrapText="1"/>
    </xf>
    <xf numFmtId="44" fontId="2" fillId="10" borderId="6" xfId="1" applyFont="1" applyFill="1" applyBorder="1" applyAlignment="1">
      <alignment horizontal="center" vertical="center" wrapText="1"/>
    </xf>
    <xf numFmtId="44" fontId="2" fillId="10" borderId="1" xfId="1" applyFont="1" applyFill="1" applyBorder="1" applyAlignment="1">
      <alignment horizontal="center" vertical="center" wrapText="1"/>
    </xf>
    <xf numFmtId="165" fontId="2" fillId="10" borderId="1" xfId="1" applyNumberFormat="1" applyFont="1" applyFill="1" applyBorder="1" applyAlignment="1">
      <alignment horizontal="center" vertical="center" wrapText="1"/>
    </xf>
    <xf numFmtId="165" fontId="2" fillId="2" borderId="0" xfId="0" applyNumberFormat="1" applyFont="1" applyFill="1"/>
    <xf numFmtId="164" fontId="2" fillId="3" borderId="6" xfId="0" applyNumberFormat="1" applyFont="1" applyFill="1" applyBorder="1" applyAlignment="1">
      <alignment horizontal="center" vertical="center" wrapText="1"/>
    </xf>
    <xf numFmtId="0" fontId="3" fillId="4" borderId="3" xfId="0" applyFont="1" applyFill="1" applyBorder="1" applyAlignment="1">
      <alignment horizontal="center" vertical="center"/>
    </xf>
    <xf numFmtId="0" fontId="2" fillId="2" borderId="16" xfId="0" applyFont="1" applyFill="1" applyBorder="1"/>
    <xf numFmtId="0" fontId="4" fillId="2" borderId="0" xfId="0" applyFont="1" applyFill="1" applyAlignment="1">
      <alignment horizontal="center" vertical="center" wrapText="1"/>
    </xf>
    <xf numFmtId="165" fontId="4" fillId="3" borderId="6" xfId="1" applyNumberFormat="1" applyFont="1" applyFill="1" applyBorder="1" applyAlignment="1">
      <alignment horizontal="center" vertical="center" wrapText="1"/>
    </xf>
    <xf numFmtId="0" fontId="14" fillId="2" borderId="0" xfId="0" applyFont="1" applyFill="1" applyAlignment="1">
      <alignment horizontal="center" vertical="center" wrapText="1"/>
    </xf>
    <xf numFmtId="165" fontId="2" fillId="0" borderId="1" xfId="1" applyNumberFormat="1" applyFont="1" applyBorder="1" applyAlignment="1">
      <alignment horizontal="center" vertical="center"/>
    </xf>
    <xf numFmtId="165" fontId="2" fillId="2" borderId="1" xfId="1" applyNumberFormat="1" applyFont="1" applyFill="1" applyBorder="1" applyAlignment="1">
      <alignment horizontal="right" vertical="center"/>
    </xf>
    <xf numFmtId="164" fontId="2" fillId="3" borderId="0" xfId="0" applyNumberFormat="1" applyFont="1" applyFill="1" applyAlignment="1">
      <alignment horizontal="center" vertical="center"/>
    </xf>
    <xf numFmtId="165" fontId="2" fillId="2" borderId="0" xfId="1" applyNumberFormat="1" applyFont="1" applyFill="1" applyBorder="1" applyAlignment="1">
      <alignment horizontal="right" vertical="center"/>
    </xf>
    <xf numFmtId="0" fontId="2" fillId="2" borderId="1" xfId="0" applyFont="1" applyFill="1" applyBorder="1" applyAlignment="1">
      <alignment horizontal="center"/>
    </xf>
    <xf numFmtId="0" fontId="2" fillId="2" borderId="1" xfId="0" applyFont="1" applyFill="1" applyBorder="1" applyAlignment="1">
      <alignment horizontal="center" vertical="center"/>
    </xf>
    <xf numFmtId="9" fontId="2" fillId="2" borderId="1" xfId="3" applyFont="1" applyFill="1" applyBorder="1" applyAlignment="1">
      <alignment horizontal="center"/>
    </xf>
    <xf numFmtId="1" fontId="2" fillId="2" borderId="1" xfId="3" applyNumberFormat="1" applyFont="1" applyFill="1" applyBorder="1" applyAlignment="1">
      <alignment horizontal="center"/>
    </xf>
    <xf numFmtId="165" fontId="2" fillId="2" borderId="1" xfId="1" applyNumberFormat="1" applyFont="1" applyFill="1" applyBorder="1"/>
    <xf numFmtId="9" fontId="2" fillId="10" borderId="1" xfId="1" applyNumberFormat="1" applyFont="1" applyFill="1" applyBorder="1" applyAlignment="1">
      <alignment horizontal="center" vertical="center" wrapText="1"/>
    </xf>
    <xf numFmtId="164" fontId="2" fillId="3" borderId="2" xfId="0" applyNumberFormat="1" applyFont="1" applyFill="1" applyBorder="1" applyAlignment="1">
      <alignment vertical="center" wrapText="1"/>
    </xf>
    <xf numFmtId="164" fontId="2" fillId="3" borderId="19" xfId="0" applyNumberFormat="1" applyFont="1" applyFill="1" applyBorder="1" applyAlignment="1">
      <alignment horizontal="center" vertical="center"/>
    </xf>
    <xf numFmtId="164" fontId="2" fillId="3" borderId="1" xfId="0" applyNumberFormat="1" applyFont="1" applyFill="1" applyBorder="1" applyAlignment="1">
      <alignment horizontal="center" vertical="center"/>
    </xf>
    <xf numFmtId="165" fontId="2" fillId="12" borderId="1" xfId="1" applyNumberFormat="1" applyFont="1" applyFill="1" applyBorder="1" applyAlignment="1">
      <alignment horizontal="right" vertical="center"/>
    </xf>
    <xf numFmtId="165" fontId="2" fillId="3" borderId="1" xfId="1" applyNumberFormat="1" applyFont="1" applyFill="1" applyBorder="1" applyAlignment="1">
      <alignment horizontal="left" vertical="center" wrapText="1"/>
    </xf>
    <xf numFmtId="164" fontId="2" fillId="3" borderId="16" xfId="0" applyNumberFormat="1" applyFont="1" applyFill="1" applyBorder="1" applyAlignment="1">
      <alignment vertical="center"/>
    </xf>
    <xf numFmtId="44" fontId="2" fillId="3" borderId="1" xfId="1" applyFont="1" applyFill="1" applyBorder="1" applyAlignment="1">
      <alignment horizontal="center" vertical="center" wrapText="1"/>
    </xf>
    <xf numFmtId="9" fontId="2" fillId="3" borderId="6" xfId="3" applyFont="1" applyFill="1" applyBorder="1" applyAlignment="1">
      <alignment horizontal="center" vertical="center"/>
    </xf>
    <xf numFmtId="0" fontId="3" fillId="4" borderId="1" xfId="0" applyFont="1" applyFill="1" applyBorder="1" applyAlignment="1">
      <alignment vertical="center"/>
    </xf>
    <xf numFmtId="44" fontId="2" fillId="2" borderId="0" xfId="0" applyNumberFormat="1" applyFont="1" applyFill="1"/>
    <xf numFmtId="166" fontId="2" fillId="0" borderId="12" xfId="4" applyNumberFormat="1" applyFont="1" applyBorder="1" applyAlignment="1">
      <alignment horizontal="right" vertical="center" wrapText="1"/>
    </xf>
    <xf numFmtId="164" fontId="2" fillId="3" borderId="1" xfId="0" applyNumberFormat="1" applyFont="1" applyFill="1" applyBorder="1" applyAlignment="1">
      <alignment vertical="center"/>
    </xf>
    <xf numFmtId="164" fontId="2" fillId="3" borderId="1" xfId="0" applyNumberFormat="1" applyFont="1" applyFill="1" applyBorder="1" applyAlignment="1">
      <alignment vertical="center" wrapText="1"/>
    </xf>
    <xf numFmtId="165" fontId="2" fillId="12" borderId="1" xfId="1" applyNumberFormat="1" applyFont="1" applyFill="1" applyBorder="1" applyAlignment="1">
      <alignment horizontal="left" vertical="center"/>
    </xf>
    <xf numFmtId="165" fontId="2" fillId="2" borderId="5" xfId="1" applyNumberFormat="1" applyFont="1" applyFill="1" applyBorder="1" applyAlignment="1">
      <alignment horizontal="right" vertical="center"/>
    </xf>
    <xf numFmtId="165" fontId="2" fillId="9" borderId="5" xfId="1" applyNumberFormat="1" applyFont="1" applyFill="1" applyBorder="1" applyAlignment="1">
      <alignment horizontal="right" vertical="center"/>
    </xf>
    <xf numFmtId="165" fontId="2" fillId="9" borderId="1" xfId="1" applyNumberFormat="1" applyFont="1" applyFill="1" applyBorder="1" applyAlignment="1">
      <alignment horizontal="center" vertical="center"/>
    </xf>
    <xf numFmtId="165" fontId="2" fillId="13" borderId="1" xfId="1" applyNumberFormat="1" applyFont="1" applyFill="1" applyBorder="1" applyAlignment="1">
      <alignment horizontal="center" vertical="center" wrapText="1"/>
    </xf>
    <xf numFmtId="165" fontId="2" fillId="9" borderId="10" xfId="0" applyNumberFormat="1" applyFont="1" applyFill="1" applyBorder="1" applyAlignment="1">
      <alignment horizontal="left" vertical="center" wrapText="1"/>
    </xf>
    <xf numFmtId="165" fontId="2" fillId="9" borderId="1" xfId="1" applyNumberFormat="1" applyFont="1" applyFill="1" applyBorder="1" applyAlignment="1">
      <alignment horizontal="right" vertical="center"/>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164" fontId="2" fillId="3" borderId="2" xfId="0" applyNumberFormat="1" applyFont="1" applyFill="1" applyBorder="1" applyAlignment="1">
      <alignment horizontal="left" vertical="center" wrapText="1"/>
    </xf>
    <xf numFmtId="164" fontId="2" fillId="3" borderId="16" xfId="0" applyNumberFormat="1" applyFont="1" applyFill="1" applyBorder="1" applyAlignment="1">
      <alignment horizontal="left" vertical="center"/>
    </xf>
    <xf numFmtId="164" fontId="2" fillId="3" borderId="3" xfId="0" applyNumberFormat="1" applyFont="1" applyFill="1" applyBorder="1" applyAlignment="1">
      <alignment horizontal="left" vertical="center"/>
    </xf>
    <xf numFmtId="0" fontId="2" fillId="0" borderId="9" xfId="0" applyFont="1" applyBorder="1" applyAlignment="1">
      <alignment horizontal="left" vertical="center" wrapText="1"/>
    </xf>
    <xf numFmtId="0" fontId="2" fillId="0" borderId="10" xfId="0" applyFont="1" applyBorder="1" applyAlignment="1">
      <alignment horizontal="left" vertical="center" wrapText="1"/>
    </xf>
    <xf numFmtId="0" fontId="2" fillId="0" borderId="4" xfId="0" applyFont="1" applyBorder="1" applyAlignment="1">
      <alignment horizontal="left" vertical="center" wrapText="1"/>
    </xf>
    <xf numFmtId="0" fontId="2" fillId="0" borderId="17" xfId="0" applyFont="1" applyBorder="1" applyAlignment="1">
      <alignment horizontal="left" vertical="center" wrapText="1"/>
    </xf>
    <xf numFmtId="0" fontId="2" fillId="2" borderId="7" xfId="0" applyFont="1" applyFill="1" applyBorder="1" applyAlignment="1">
      <alignment horizontal="left" vertical="center" wrapText="1"/>
    </xf>
    <xf numFmtId="0" fontId="2" fillId="2" borderId="8" xfId="0" applyFont="1" applyFill="1" applyBorder="1" applyAlignment="1">
      <alignment horizontal="left" vertical="center" wrapText="1"/>
    </xf>
    <xf numFmtId="0" fontId="3" fillId="4" borderId="2" xfId="0" applyFont="1" applyFill="1" applyBorder="1" applyAlignment="1">
      <alignment horizontal="center" vertical="center"/>
    </xf>
    <xf numFmtId="0" fontId="3" fillId="4" borderId="3" xfId="0" applyFont="1" applyFill="1" applyBorder="1" applyAlignment="1">
      <alignment horizontal="center" vertical="center"/>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0" fontId="3" fillId="4" borderId="1" xfId="0" applyFont="1" applyFill="1" applyBorder="1" applyAlignment="1">
      <alignment horizontal="center" vertical="center" wrapText="1"/>
    </xf>
    <xf numFmtId="0" fontId="3" fillId="4" borderId="1" xfId="0" applyFont="1" applyFill="1" applyBorder="1" applyAlignment="1">
      <alignment horizontal="center" vertical="center"/>
    </xf>
    <xf numFmtId="0" fontId="2" fillId="0" borderId="1" xfId="0" applyFont="1" applyBorder="1" applyAlignment="1">
      <alignment horizontal="left" vertical="center" wrapText="1"/>
    </xf>
    <xf numFmtId="165" fontId="2" fillId="0" borderId="2" xfId="1" applyNumberFormat="1" applyFont="1" applyBorder="1" applyAlignment="1">
      <alignment horizontal="center" vertical="center"/>
    </xf>
    <xf numFmtId="165" fontId="2" fillId="0" borderId="16" xfId="1" applyNumberFormat="1" applyFont="1" applyBorder="1" applyAlignment="1">
      <alignment horizontal="center" vertical="center"/>
    </xf>
    <xf numFmtId="165" fontId="2" fillId="0" borderId="3" xfId="1" applyNumberFormat="1" applyFont="1" applyBorder="1" applyAlignment="1">
      <alignment horizontal="center" vertical="center"/>
    </xf>
    <xf numFmtId="0" fontId="2" fillId="0" borderId="16" xfId="0" applyFont="1" applyBorder="1" applyAlignment="1">
      <alignment horizontal="left" vertical="center" wrapText="1"/>
    </xf>
    <xf numFmtId="0" fontId="2" fillId="2" borderId="1" xfId="0" applyFont="1" applyFill="1" applyBorder="1" applyAlignment="1">
      <alignment vertical="center" wrapText="1"/>
    </xf>
    <xf numFmtId="0" fontId="5" fillId="11" borderId="5" xfId="0" applyFont="1" applyFill="1" applyBorder="1" applyAlignment="1">
      <alignment horizontal="center" vertical="center"/>
    </xf>
    <xf numFmtId="0" fontId="5" fillId="11" borderId="19" xfId="0" applyFont="1" applyFill="1" applyBorder="1" applyAlignment="1">
      <alignment horizontal="center" vertical="center"/>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3" fillId="4" borderId="16" xfId="0" applyFont="1" applyFill="1" applyBorder="1" applyAlignment="1">
      <alignment horizontal="center" vertical="center"/>
    </xf>
    <xf numFmtId="0" fontId="4" fillId="0" borderId="7" xfId="0" applyFont="1" applyBorder="1" applyAlignment="1">
      <alignment horizontal="left" vertical="center" wrapText="1"/>
    </xf>
    <xf numFmtId="165" fontId="2" fillId="3" borderId="2" xfId="1" applyNumberFormat="1" applyFont="1" applyFill="1" applyBorder="1" applyAlignment="1">
      <alignment horizontal="center" vertical="center" wrapText="1"/>
    </xf>
    <xf numFmtId="165" fontId="2" fillId="3" borderId="16" xfId="1" applyNumberFormat="1" applyFont="1" applyFill="1" applyBorder="1" applyAlignment="1">
      <alignment horizontal="center" vertical="center" wrapText="1"/>
    </xf>
    <xf numFmtId="165" fontId="2" fillId="3" borderId="3" xfId="1" applyNumberFormat="1" applyFont="1" applyFill="1" applyBorder="1" applyAlignment="1">
      <alignment horizontal="center" vertical="center" wrapText="1"/>
    </xf>
    <xf numFmtId="164" fontId="2" fillId="3" borderId="16" xfId="0" applyNumberFormat="1" applyFont="1" applyFill="1" applyBorder="1" applyAlignment="1">
      <alignment horizontal="left" vertical="center" wrapText="1"/>
    </xf>
    <xf numFmtId="164" fontId="2" fillId="3" borderId="3" xfId="0" applyNumberFormat="1" applyFont="1" applyFill="1" applyBorder="1" applyAlignment="1">
      <alignment horizontal="left" vertical="center" wrapText="1"/>
    </xf>
    <xf numFmtId="164" fontId="2" fillId="3" borderId="7" xfId="0" applyNumberFormat="1" applyFont="1" applyFill="1" applyBorder="1" applyAlignment="1">
      <alignment horizontal="left" vertical="top" wrapText="1"/>
    </xf>
    <xf numFmtId="164" fontId="2" fillId="3" borderId="11" xfId="0" applyNumberFormat="1" applyFont="1" applyFill="1" applyBorder="1" applyAlignment="1">
      <alignment horizontal="left" vertical="top"/>
    </xf>
    <xf numFmtId="164" fontId="2" fillId="3" borderId="8" xfId="0" applyNumberFormat="1" applyFont="1" applyFill="1" applyBorder="1" applyAlignment="1">
      <alignment horizontal="left" vertical="top"/>
    </xf>
    <xf numFmtId="164" fontId="2" fillId="3" borderId="4" xfId="0" applyNumberFormat="1" applyFont="1" applyFill="1" applyBorder="1" applyAlignment="1">
      <alignment horizontal="left" vertical="top"/>
    </xf>
    <xf numFmtId="164" fontId="2" fillId="3" borderId="0" xfId="0" applyNumberFormat="1" applyFont="1" applyFill="1" applyAlignment="1">
      <alignment horizontal="left" vertical="top"/>
    </xf>
    <xf numFmtId="164" fontId="2" fillId="3" borderId="17" xfId="0" applyNumberFormat="1" applyFont="1" applyFill="1" applyBorder="1" applyAlignment="1">
      <alignment horizontal="left" vertical="top"/>
    </xf>
    <xf numFmtId="164" fontId="2" fillId="3" borderId="9" xfId="0" applyNumberFormat="1" applyFont="1" applyFill="1" applyBorder="1" applyAlignment="1">
      <alignment horizontal="left" vertical="top"/>
    </xf>
    <xf numFmtId="164" fontId="2" fillId="3" borderId="18" xfId="0" applyNumberFormat="1" applyFont="1" applyFill="1" applyBorder="1" applyAlignment="1">
      <alignment horizontal="left" vertical="top"/>
    </xf>
    <xf numFmtId="164" fontId="2" fillId="3" borderId="10" xfId="0" applyNumberFormat="1" applyFont="1" applyFill="1" applyBorder="1" applyAlignment="1">
      <alignment horizontal="left" vertical="top"/>
    </xf>
    <xf numFmtId="164" fontId="4" fillId="3" borderId="2" xfId="0" applyNumberFormat="1" applyFont="1" applyFill="1" applyBorder="1" applyAlignment="1">
      <alignment horizontal="center" vertical="center"/>
    </xf>
    <xf numFmtId="164" fontId="4" fillId="3" borderId="16" xfId="0" applyNumberFormat="1" applyFont="1" applyFill="1" applyBorder="1" applyAlignment="1">
      <alignment horizontal="center" vertical="center"/>
    </xf>
    <xf numFmtId="164" fontId="4" fillId="3" borderId="3" xfId="0" applyNumberFormat="1" applyFont="1" applyFill="1" applyBorder="1" applyAlignment="1">
      <alignment horizontal="center" vertical="center"/>
    </xf>
    <xf numFmtId="0" fontId="4" fillId="0" borderId="2" xfId="0" applyFont="1" applyBorder="1" applyAlignment="1">
      <alignment horizontal="left" vertical="center" wrapText="1"/>
    </xf>
    <xf numFmtId="0" fontId="4" fillId="0" borderId="3" xfId="0" applyFont="1" applyBorder="1" applyAlignment="1">
      <alignment horizontal="left" vertical="center" wrapText="1"/>
    </xf>
    <xf numFmtId="0" fontId="3" fillId="4" borderId="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3" xfId="0" applyFont="1" applyFill="1" applyBorder="1" applyAlignment="1">
      <alignment horizontal="center" vertical="center" wrapText="1"/>
    </xf>
    <xf numFmtId="165" fontId="2" fillId="3" borderId="5" xfId="1" applyNumberFormat="1" applyFont="1" applyFill="1" applyBorder="1" applyAlignment="1">
      <alignment horizontal="center" vertical="center" wrapText="1"/>
    </xf>
    <xf numFmtId="165" fontId="2" fillId="3" borderId="6" xfId="1" applyNumberFormat="1" applyFont="1" applyFill="1" applyBorder="1" applyAlignment="1">
      <alignment horizontal="center" vertical="center" wrapText="1"/>
    </xf>
    <xf numFmtId="0" fontId="4" fillId="0" borderId="1" xfId="0" applyFont="1" applyBorder="1" applyAlignment="1">
      <alignment horizontal="left"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3" fillId="4" borderId="5" xfId="0" applyFont="1" applyFill="1" applyBorder="1" applyAlignment="1">
      <alignment horizontal="center" vertical="center"/>
    </xf>
    <xf numFmtId="0" fontId="20" fillId="2" borderId="4" xfId="2" applyFont="1" applyFill="1" applyBorder="1" applyAlignment="1">
      <alignment horizontal="left" vertical="top" wrapText="1"/>
    </xf>
    <xf numFmtId="0" fontId="20" fillId="2" borderId="17" xfId="2" applyFont="1" applyFill="1" applyBorder="1" applyAlignment="1">
      <alignment horizontal="left" vertical="top" wrapText="1"/>
    </xf>
    <xf numFmtId="0" fontId="20" fillId="2" borderId="9" xfId="2" applyFont="1" applyFill="1" applyBorder="1" applyAlignment="1">
      <alignment horizontal="left" vertical="top" wrapText="1"/>
    </xf>
    <xf numFmtId="0" fontId="20" fillId="2" borderId="10" xfId="2" applyFont="1" applyFill="1" applyBorder="1" applyAlignment="1">
      <alignment horizontal="left" vertical="top" wrapText="1"/>
    </xf>
    <xf numFmtId="165" fontId="2" fillId="3" borderId="5" xfId="1" applyNumberFormat="1" applyFont="1" applyFill="1" applyBorder="1" applyAlignment="1">
      <alignment horizontal="center" vertical="center"/>
    </xf>
    <xf numFmtId="165" fontId="2" fillId="3" borderId="6" xfId="1" applyNumberFormat="1" applyFont="1" applyFill="1" applyBorder="1" applyAlignment="1">
      <alignment horizontal="center" vertical="center"/>
    </xf>
    <xf numFmtId="0" fontId="2" fillId="5" borderId="0" xfId="0" applyFont="1" applyFill="1" applyAlignment="1">
      <alignment horizontal="center" vertical="center" wrapText="1"/>
    </xf>
    <xf numFmtId="0" fontId="2" fillId="7" borderId="0" xfId="0" applyFont="1" applyFill="1" applyAlignment="1">
      <alignment horizontal="center" vertical="center" wrapText="1"/>
    </xf>
    <xf numFmtId="0" fontId="9" fillId="7" borderId="0" xfId="2" applyFont="1" applyFill="1" applyBorder="1" applyAlignment="1">
      <alignment horizontal="center" vertical="center"/>
    </xf>
    <xf numFmtId="0" fontId="2" fillId="2" borderId="1" xfId="0" applyFont="1" applyFill="1" applyBorder="1" applyAlignment="1">
      <alignment horizontal="center" wrapText="1"/>
    </xf>
    <xf numFmtId="0" fontId="3" fillId="4" borderId="13" xfId="0" applyFont="1" applyFill="1" applyBorder="1" applyAlignment="1">
      <alignment horizontal="center" vertical="center"/>
    </xf>
    <xf numFmtId="0" fontId="3" fillId="4" borderId="14" xfId="0" applyFont="1" applyFill="1" applyBorder="1" applyAlignment="1">
      <alignment horizontal="center" vertical="center"/>
    </xf>
    <xf numFmtId="0" fontId="3" fillId="4" borderId="15" xfId="0" applyFont="1" applyFill="1" applyBorder="1" applyAlignment="1">
      <alignment horizontal="center" vertical="center"/>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2" fillId="2" borderId="1" xfId="0" applyFont="1" applyFill="1" applyBorder="1" applyAlignment="1">
      <alignment horizontal="left" wrapText="1"/>
    </xf>
    <xf numFmtId="0" fontId="2" fillId="0" borderId="13" xfId="0" applyFont="1" applyBorder="1" applyAlignment="1">
      <alignment horizontal="left" vertical="center" wrapText="1"/>
    </xf>
    <xf numFmtId="0" fontId="2" fillId="0" borderId="14" xfId="0" applyFont="1" applyBorder="1" applyAlignment="1">
      <alignment horizontal="left" vertical="center" wrapText="1"/>
    </xf>
    <xf numFmtId="0" fontId="2" fillId="0" borderId="15" xfId="0" applyFont="1" applyBorder="1" applyAlignment="1">
      <alignment horizontal="left" vertical="center" wrapText="1"/>
    </xf>
    <xf numFmtId="0" fontId="2" fillId="0" borderId="2" xfId="0" applyFont="1" applyBorder="1" applyAlignment="1">
      <alignment horizontal="left" vertical="center" wrapText="1" indent="4"/>
    </xf>
    <xf numFmtId="0" fontId="2" fillId="0" borderId="16" xfId="0" applyFont="1" applyBorder="1" applyAlignment="1">
      <alignment horizontal="left" vertical="center" wrapText="1" indent="4"/>
    </xf>
    <xf numFmtId="0" fontId="2" fillId="0" borderId="3" xfId="0" applyFont="1" applyBorder="1" applyAlignment="1">
      <alignment horizontal="left" vertical="center" wrapText="1" indent="4"/>
    </xf>
    <xf numFmtId="165" fontId="2" fillId="10" borderId="5" xfId="1" applyNumberFormat="1" applyFont="1" applyFill="1" applyBorder="1" applyAlignment="1">
      <alignment horizontal="center" vertical="center" wrapText="1"/>
    </xf>
    <xf numFmtId="165" fontId="2" fillId="10" borderId="6" xfId="1" applyNumberFormat="1" applyFont="1" applyFill="1" applyBorder="1" applyAlignment="1">
      <alignment horizontal="center"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2" fillId="2" borderId="1" xfId="0" applyFont="1" applyFill="1" applyBorder="1" applyAlignment="1">
      <alignment horizontal="left" vertical="center" wrapText="1"/>
    </xf>
    <xf numFmtId="0" fontId="2" fillId="2" borderId="1" xfId="0" applyFont="1" applyFill="1" applyBorder="1" applyAlignment="1">
      <alignment horizontal="left" vertical="center"/>
    </xf>
    <xf numFmtId="165" fontId="2" fillId="0" borderId="5" xfId="1" applyNumberFormat="1" applyFont="1" applyBorder="1" applyAlignment="1">
      <alignment horizontal="center" vertical="center" wrapText="1"/>
    </xf>
    <xf numFmtId="165" fontId="2" fillId="0" borderId="6" xfId="1" applyNumberFormat="1" applyFont="1" applyBorder="1" applyAlignment="1">
      <alignment horizontal="center" vertical="center"/>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165" fontId="2" fillId="3" borderId="19" xfId="1" applyNumberFormat="1" applyFont="1" applyFill="1" applyBorder="1" applyAlignment="1">
      <alignment horizontal="center" vertical="center" wrapText="1"/>
    </xf>
    <xf numFmtId="0" fontId="2" fillId="0" borderId="5"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6" xfId="0" applyFont="1" applyBorder="1" applyAlignment="1">
      <alignment horizontal="center" vertical="center" wrapText="1"/>
    </xf>
    <xf numFmtId="0" fontId="10" fillId="8" borderId="0" xfId="0" applyFont="1" applyFill="1" applyAlignment="1">
      <alignment horizontal="center" vertical="center" wrapText="1"/>
    </xf>
    <xf numFmtId="0" fontId="6" fillId="2" borderId="0" xfId="0" applyFont="1" applyFill="1" applyAlignment="1">
      <alignment horizontal="center" vertical="center" wrapText="1"/>
    </xf>
    <xf numFmtId="0" fontId="2" fillId="2" borderId="0" xfId="0" applyFont="1" applyFill="1" applyAlignment="1">
      <alignment horizontal="left" vertical="center" wrapText="1"/>
    </xf>
    <xf numFmtId="0" fontId="4" fillId="0" borderId="16" xfId="0" applyFont="1" applyBorder="1" applyAlignment="1">
      <alignment horizontal="left" vertical="center" wrapText="1"/>
    </xf>
    <xf numFmtId="0" fontId="4" fillId="0" borderId="9" xfId="0" applyFont="1" applyBorder="1" applyAlignment="1">
      <alignment horizontal="left" vertical="center" wrapText="1"/>
    </xf>
    <xf numFmtId="0" fontId="4" fillId="0" borderId="10" xfId="0" applyFont="1" applyBorder="1" applyAlignment="1">
      <alignment horizontal="left" vertical="center" wrapText="1"/>
    </xf>
    <xf numFmtId="164" fontId="2" fillId="3" borderId="1" xfId="0" applyNumberFormat="1" applyFont="1" applyFill="1" applyBorder="1" applyAlignment="1">
      <alignment horizontal="center" vertical="center"/>
    </xf>
    <xf numFmtId="0" fontId="2" fillId="2" borderId="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0" fillId="0" borderId="2" xfId="2" applyFont="1" applyBorder="1" applyAlignment="1">
      <alignment horizontal="left" vertical="center" wrapText="1"/>
    </xf>
    <xf numFmtId="0" fontId="20" fillId="0" borderId="3" xfId="2" applyFont="1" applyBorder="1" applyAlignment="1">
      <alignment horizontal="left" vertical="center" wrapText="1"/>
    </xf>
    <xf numFmtId="165" fontId="2" fillId="12" borderId="5" xfId="1" applyNumberFormat="1" applyFont="1" applyFill="1" applyBorder="1" applyAlignment="1">
      <alignment horizontal="center" vertical="center"/>
    </xf>
    <xf numFmtId="165" fontId="2" fillId="12" borderId="19" xfId="1" applyNumberFormat="1" applyFont="1" applyFill="1" applyBorder="1" applyAlignment="1">
      <alignment horizontal="center" vertical="center"/>
    </xf>
    <xf numFmtId="164" fontId="2" fillId="3" borderId="7" xfId="0" applyNumberFormat="1" applyFont="1" applyFill="1" applyBorder="1" applyAlignment="1">
      <alignment horizontal="left" vertical="center" wrapText="1"/>
    </xf>
    <xf numFmtId="164" fontId="2" fillId="3" borderId="11" xfId="0" applyNumberFormat="1" applyFont="1" applyFill="1" applyBorder="1" applyAlignment="1">
      <alignment horizontal="left" vertical="center" wrapText="1"/>
    </xf>
    <xf numFmtId="164" fontId="2" fillId="3" borderId="9" xfId="0" applyNumberFormat="1" applyFont="1" applyFill="1" applyBorder="1" applyAlignment="1">
      <alignment horizontal="left" vertical="center" wrapText="1"/>
    </xf>
    <xf numFmtId="164" fontId="2" fillId="3" borderId="18" xfId="0" applyNumberFormat="1" applyFont="1" applyFill="1" applyBorder="1" applyAlignment="1">
      <alignment horizontal="left" vertical="center" wrapText="1"/>
    </xf>
    <xf numFmtId="164" fontId="2" fillId="3" borderId="1" xfId="0" applyNumberFormat="1" applyFont="1" applyFill="1" applyBorder="1" applyAlignment="1">
      <alignment horizontal="center" vertical="center" wrapText="1"/>
    </xf>
    <xf numFmtId="165" fontId="2" fillId="9" borderId="1" xfId="1" applyNumberFormat="1" applyFont="1" applyFill="1" applyBorder="1" applyAlignment="1">
      <alignment horizontal="center" vertical="center"/>
    </xf>
    <xf numFmtId="0" fontId="20" fillId="2" borderId="9" xfId="2" applyFont="1" applyFill="1" applyBorder="1" applyAlignment="1">
      <alignment horizontal="left" vertical="center" wrapText="1"/>
    </xf>
    <xf numFmtId="0" fontId="20" fillId="2" borderId="10" xfId="2" applyFont="1" applyFill="1" applyBorder="1" applyAlignment="1">
      <alignment horizontal="left" vertical="center" wrapText="1"/>
    </xf>
    <xf numFmtId="165" fontId="2" fillId="2" borderId="2" xfId="1" applyNumberFormat="1" applyFont="1" applyFill="1" applyBorder="1" applyAlignment="1">
      <alignment horizontal="center" vertical="center"/>
    </xf>
    <xf numFmtId="164" fontId="2" fillId="3" borderId="8" xfId="0" applyNumberFormat="1" applyFont="1" applyFill="1" applyBorder="1" applyAlignment="1">
      <alignment horizontal="left" vertical="center" wrapText="1"/>
    </xf>
    <xf numFmtId="164" fontId="2" fillId="3" borderId="10" xfId="0" applyNumberFormat="1" applyFont="1" applyFill="1" applyBorder="1" applyAlignment="1">
      <alignment horizontal="left" vertical="center" wrapText="1"/>
    </xf>
    <xf numFmtId="44" fontId="2" fillId="10" borderId="5" xfId="1" applyFont="1" applyFill="1" applyBorder="1" applyAlignment="1">
      <alignment horizontal="center" vertical="center" wrapText="1"/>
    </xf>
    <xf numFmtId="44" fontId="2" fillId="10" borderId="6" xfId="1" applyFont="1" applyFill="1" applyBorder="1" applyAlignment="1">
      <alignment horizontal="center" vertical="center" wrapText="1"/>
    </xf>
    <xf numFmtId="44" fontId="2" fillId="3" borderId="5" xfId="1" applyFont="1" applyFill="1" applyBorder="1" applyAlignment="1">
      <alignment horizontal="center" vertical="center" wrapText="1"/>
    </xf>
    <xf numFmtId="44" fontId="2" fillId="3" borderId="6" xfId="1" applyFont="1" applyFill="1" applyBorder="1" applyAlignment="1">
      <alignment horizontal="center" vertical="center" wrapText="1"/>
    </xf>
    <xf numFmtId="44" fontId="2" fillId="3" borderId="7" xfId="1" applyFont="1" applyFill="1" applyBorder="1" applyAlignment="1">
      <alignment horizontal="center" vertical="center" wrapText="1"/>
    </xf>
    <xf numFmtId="44" fontId="2" fillId="3" borderId="9" xfId="1" applyFont="1" applyFill="1" applyBorder="1" applyAlignment="1">
      <alignment horizontal="center" vertical="center" wrapText="1"/>
    </xf>
    <xf numFmtId="165" fontId="2" fillId="12" borderId="6" xfId="1" applyNumberFormat="1" applyFont="1" applyFill="1" applyBorder="1" applyAlignment="1">
      <alignment horizontal="center" vertical="center"/>
    </xf>
    <xf numFmtId="165" fontId="2" fillId="12" borderId="1" xfId="1" applyNumberFormat="1" applyFont="1" applyFill="1" applyBorder="1" applyAlignment="1">
      <alignment horizontal="center" vertical="center"/>
    </xf>
    <xf numFmtId="164" fontId="2" fillId="3" borderId="4" xfId="0" applyNumberFormat="1" applyFont="1" applyFill="1" applyBorder="1" applyAlignment="1">
      <alignment horizontal="left" vertical="center" wrapText="1"/>
    </xf>
    <xf numFmtId="164" fontId="2" fillId="3" borderId="0" xfId="0" applyNumberFormat="1" applyFont="1" applyFill="1" applyAlignment="1">
      <alignment horizontal="left" vertical="center" wrapText="1"/>
    </xf>
    <xf numFmtId="0" fontId="3" fillId="4" borderId="0" xfId="0" applyFont="1" applyFill="1" applyAlignment="1">
      <alignment horizontal="left" vertical="center"/>
    </xf>
    <xf numFmtId="0" fontId="2" fillId="6" borderId="0" xfId="0" applyFont="1" applyFill="1" applyAlignment="1">
      <alignment horizontal="left" vertical="center" wrapText="1"/>
    </xf>
    <xf numFmtId="0" fontId="12" fillId="4" borderId="0" xfId="0" applyFont="1" applyFill="1" applyAlignment="1">
      <alignment horizontal="left" vertical="center"/>
    </xf>
    <xf numFmtId="0" fontId="17" fillId="6" borderId="0" xfId="2" applyFont="1" applyFill="1" applyAlignment="1">
      <alignment horizontal="center" vertical="center" wrapText="1"/>
    </xf>
    <xf numFmtId="0" fontId="7" fillId="2" borderId="0" xfId="0" applyFont="1" applyFill="1" applyAlignment="1">
      <alignment horizontal="center" vertical="center" wrapText="1"/>
    </xf>
    <xf numFmtId="0" fontId="2" fillId="2" borderId="0" xfId="0" applyFont="1" applyFill="1" applyAlignment="1">
      <alignment horizontal="left" wrapText="1"/>
    </xf>
    <xf numFmtId="0" fontId="18" fillId="6" borderId="0" xfId="2" applyFont="1" applyFill="1" applyAlignment="1">
      <alignment horizontal="center" vertical="center" wrapText="1"/>
    </xf>
  </cellXfs>
  <cellStyles count="5">
    <cellStyle name="Hipervínculo" xfId="2" builtinId="8"/>
    <cellStyle name="Millares" xfId="4" builtinId="3"/>
    <cellStyle name="Moneda" xfId="1" builtinId="4"/>
    <cellStyle name="Normal" xfId="0" builtinId="0"/>
    <cellStyle name="Porcentaje" xfId="3" builtinId="5"/>
  </cellStyles>
  <dxfs count="17">
    <dxf>
      <fill>
        <patternFill>
          <bgColor rgb="FFCFF2F1"/>
        </patternFill>
      </fill>
    </dxf>
    <dxf>
      <fill>
        <patternFill>
          <bgColor rgb="FFCFF2F1"/>
        </patternFill>
      </fill>
    </dxf>
    <dxf>
      <fill>
        <patternFill>
          <bgColor rgb="FFCFF2F1"/>
        </patternFill>
      </fill>
    </dxf>
    <dxf>
      <fill>
        <patternFill>
          <bgColor rgb="FFCFF2F1"/>
        </patternFill>
      </fill>
    </dxf>
    <dxf>
      <fill>
        <patternFill>
          <bgColor rgb="FFCFF2F1"/>
        </patternFill>
      </fill>
    </dxf>
    <dxf>
      <fill>
        <patternFill>
          <bgColor rgb="FFCFF2F1"/>
        </patternFill>
      </fill>
    </dxf>
    <dxf>
      <fill>
        <patternFill>
          <bgColor rgb="FFCFF2F1"/>
        </patternFill>
      </fill>
    </dxf>
    <dxf>
      <fill>
        <patternFill>
          <bgColor rgb="FFCFF2F1"/>
        </patternFill>
      </fill>
    </dxf>
    <dxf>
      <fill>
        <patternFill>
          <bgColor rgb="FFCFF2F1"/>
        </patternFill>
      </fill>
    </dxf>
    <dxf>
      <fill>
        <patternFill>
          <bgColor rgb="FFCFF2F1"/>
        </patternFill>
      </fill>
    </dxf>
    <dxf>
      <fill>
        <patternFill>
          <bgColor rgb="FFCFF2F1"/>
        </patternFill>
      </fill>
    </dxf>
    <dxf>
      <fill>
        <patternFill>
          <bgColor rgb="FFCFF2F1"/>
        </patternFill>
      </fill>
    </dxf>
    <dxf>
      <fill>
        <patternFill>
          <bgColor rgb="FFCFF2F1"/>
        </patternFill>
      </fill>
    </dxf>
    <dxf>
      <fill>
        <patternFill>
          <bgColor rgb="FFCFF2F1"/>
        </patternFill>
      </fill>
    </dxf>
    <dxf>
      <fill>
        <patternFill>
          <bgColor rgb="FFCFF2F1"/>
        </patternFill>
      </fill>
    </dxf>
    <dxf>
      <fill>
        <patternFill>
          <bgColor rgb="FFCFF2F1"/>
        </patternFill>
      </fill>
    </dxf>
    <dxf>
      <fill>
        <patternFill>
          <bgColor rgb="FFCFF2F1"/>
        </patternFill>
      </fill>
    </dxf>
  </dxfs>
  <tableStyles count="0" defaultTableStyle="TableStyleMedium2" defaultPivotStyle="PivotStyleLight16"/>
  <colors>
    <mruColors>
      <color rgb="FF66FF99"/>
      <color rgb="FFE2E8F0"/>
      <color rgb="FF00535E"/>
      <color rgb="FFCFF2F1"/>
      <color rgb="FFEEEEEE"/>
      <color rgb="FFF1F5F9"/>
      <color rgb="FFFBFBFB"/>
      <color rgb="FFF7F7F7"/>
      <color rgb="FFF9F9F9"/>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alegra.com/colombia/?utm_source=siemprealdia&amp;utm_medium=herramienta_descargable&amp;utm_campaign=col---tmd_content_for_accountants"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ttps://siemprealdia.alegra.com/?utm_source=siemprealdia&amp;utm_medium=herramienta_descargable&amp;utm_campaign=col---tmd_content_for_accountants" TargetMode="Externa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Contexto y normativa DRPN 2023'!B81"/><Relationship Id="rId13" Type="http://schemas.openxmlformats.org/officeDocument/2006/relationships/hyperlink" Target="#'Contexto y normativa DRPN 2023'!B38"/><Relationship Id="rId18" Type="http://schemas.openxmlformats.org/officeDocument/2006/relationships/hyperlink" Target="#'Contexto y normativa DRPN 2023'!B62"/><Relationship Id="rId3" Type="http://schemas.openxmlformats.org/officeDocument/2006/relationships/hyperlink" Target="#'Contexto y normativa DRPN 2023'!B77"/><Relationship Id="rId21" Type="http://schemas.openxmlformats.org/officeDocument/2006/relationships/hyperlink" Target="#'Contexto y normativa DRPN 2023'!B70"/><Relationship Id="rId7" Type="http://schemas.openxmlformats.org/officeDocument/2006/relationships/hyperlink" Target="#'Contexto y normativa DRPN 2023'!B80"/><Relationship Id="rId12" Type="http://schemas.openxmlformats.org/officeDocument/2006/relationships/hyperlink" Target="#'Contexto y normativa DRPN 2023'!B35"/><Relationship Id="rId17" Type="http://schemas.openxmlformats.org/officeDocument/2006/relationships/hyperlink" Target="#'Contexto y normativa DRPN 2023'!B17"/><Relationship Id="rId2" Type="http://schemas.openxmlformats.org/officeDocument/2006/relationships/image" Target="../media/image6.png"/><Relationship Id="rId16" Type="http://schemas.openxmlformats.org/officeDocument/2006/relationships/hyperlink" Target="#'Contexto y normativa DRPN 2023'!B52"/><Relationship Id="rId20" Type="http://schemas.openxmlformats.org/officeDocument/2006/relationships/hyperlink" Target="#'Contexto y normativa DRPN 2023'!B67"/><Relationship Id="rId1" Type="http://schemas.openxmlformats.org/officeDocument/2006/relationships/image" Target="../media/image5.png"/><Relationship Id="rId6" Type="http://schemas.openxmlformats.org/officeDocument/2006/relationships/hyperlink" Target="#'Contexto y normativa DRPN 2023'!B16"/><Relationship Id="rId11" Type="http://schemas.openxmlformats.org/officeDocument/2006/relationships/hyperlink" Target="#'Contexto y normativa DRPN 2023'!B32"/><Relationship Id="rId5" Type="http://schemas.openxmlformats.org/officeDocument/2006/relationships/hyperlink" Target="#'Contexto y normativa DRPN 2023'!B86"/><Relationship Id="rId15" Type="http://schemas.openxmlformats.org/officeDocument/2006/relationships/hyperlink" Target="#'Contexto y normativa DRPN 2023'!B46"/><Relationship Id="rId23" Type="http://schemas.openxmlformats.org/officeDocument/2006/relationships/hyperlink" Target="#'Contexto y normativa DRPN 2023'!B57"/><Relationship Id="rId10" Type="http://schemas.openxmlformats.org/officeDocument/2006/relationships/hyperlink" Target="#'Contexto y normativa DRPN 2023'!B27"/><Relationship Id="rId19" Type="http://schemas.openxmlformats.org/officeDocument/2006/relationships/hyperlink" Target="#'Contexto y normativa DRPN 2023'!B7"/><Relationship Id="rId4" Type="http://schemas.openxmlformats.org/officeDocument/2006/relationships/hyperlink" Target="#'Contexto y normativa DRPN 2023'!B59"/><Relationship Id="rId9" Type="http://schemas.openxmlformats.org/officeDocument/2006/relationships/hyperlink" Target="#'Contexto y normativa DRPN 2023'!B21"/><Relationship Id="rId14" Type="http://schemas.openxmlformats.org/officeDocument/2006/relationships/hyperlink" Target="#'Contexto y normativa DRPN 2023'!B41"/><Relationship Id="rId22" Type="http://schemas.openxmlformats.org/officeDocument/2006/relationships/hyperlink" Target="#'Contexto y normativa DRPN 2023'!B73"/></Relationships>
</file>

<file path=xl/drawings/_rels/drawing4.xml.rels><?xml version="1.0" encoding="UTF-8" standalone="yes"?>
<Relationships xmlns="http://schemas.openxmlformats.org/package/2006/relationships"><Relationship Id="rId8" Type="http://schemas.openxmlformats.org/officeDocument/2006/relationships/hyperlink" Target="#'Caso DRPN 2023 asalariados'!B36"/><Relationship Id="rId13" Type="http://schemas.openxmlformats.org/officeDocument/2006/relationships/hyperlink" Target="#'Caso DRPN 2023 asalariados'!B52"/><Relationship Id="rId18" Type="http://schemas.openxmlformats.org/officeDocument/2006/relationships/hyperlink" Target="#'Caso DRPN 2023 asalariados'!B88"/><Relationship Id="rId3" Type="http://schemas.openxmlformats.org/officeDocument/2006/relationships/hyperlink" Target="#'Caso DRPN 2023 asalariados'!B5"/><Relationship Id="rId21" Type="http://schemas.openxmlformats.org/officeDocument/2006/relationships/hyperlink" Target="#'Caso DRPN 2023 asalariados'!B92"/><Relationship Id="rId7" Type="http://schemas.openxmlformats.org/officeDocument/2006/relationships/hyperlink" Target="#'Caso DRPN 2023 asalariados'!B20"/><Relationship Id="rId12" Type="http://schemas.openxmlformats.org/officeDocument/2006/relationships/hyperlink" Target="#'Caso DRPN 2023 asalariados'!B41"/><Relationship Id="rId17" Type="http://schemas.openxmlformats.org/officeDocument/2006/relationships/hyperlink" Target="#'Caso DRPN 2023 asalariados'!B84"/><Relationship Id="rId2" Type="http://schemas.openxmlformats.org/officeDocument/2006/relationships/image" Target="../media/image8.png"/><Relationship Id="rId16" Type="http://schemas.openxmlformats.org/officeDocument/2006/relationships/hyperlink" Target="#'Caso DRPN 2023 asalariados'!B65"/><Relationship Id="rId20" Type="http://schemas.openxmlformats.org/officeDocument/2006/relationships/hyperlink" Target="#'Caso DRPN 2023 asalariados'!B91"/><Relationship Id="rId1" Type="http://schemas.openxmlformats.org/officeDocument/2006/relationships/image" Target="../media/image7.png"/><Relationship Id="rId6" Type="http://schemas.openxmlformats.org/officeDocument/2006/relationships/hyperlink" Target="#'Caso DRPN 2023 asalariados'!B19"/><Relationship Id="rId11" Type="http://schemas.openxmlformats.org/officeDocument/2006/relationships/hyperlink" Target="#'Caso DRPN 2023 asalariados'!B40"/><Relationship Id="rId5" Type="http://schemas.openxmlformats.org/officeDocument/2006/relationships/hyperlink" Target="#'Caso DRPN 2023 asalariados'!B30"/><Relationship Id="rId15" Type="http://schemas.openxmlformats.org/officeDocument/2006/relationships/hyperlink" Target="#'Caso DRPN 2023 asalariados'!B66"/><Relationship Id="rId23" Type="http://schemas.openxmlformats.org/officeDocument/2006/relationships/hyperlink" Target="#'Caso DRPN 2023 asalariados'!B79"/><Relationship Id="rId10" Type="http://schemas.openxmlformats.org/officeDocument/2006/relationships/hyperlink" Target="#'Caso DRPN 2023 asalariados'!B38"/><Relationship Id="rId19" Type="http://schemas.openxmlformats.org/officeDocument/2006/relationships/hyperlink" Target="#'Caso DRPN 2023 asalariados'!B90"/><Relationship Id="rId4" Type="http://schemas.openxmlformats.org/officeDocument/2006/relationships/hyperlink" Target="#'Caso DRPN 2023 asalariados'!B17"/><Relationship Id="rId9" Type="http://schemas.openxmlformats.org/officeDocument/2006/relationships/hyperlink" Target="#'Caso DRPN 2023 asalariados'!B67"/><Relationship Id="rId14" Type="http://schemas.openxmlformats.org/officeDocument/2006/relationships/hyperlink" Target="#'Caso DRPN 2023 asalariados'!B57"/><Relationship Id="rId22" Type="http://schemas.openxmlformats.org/officeDocument/2006/relationships/hyperlink" Target="#'Caso DRPN 2023 asalariados'!B115"/></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46446</xdr:colOff>
      <xdr:row>47</xdr:row>
      <xdr:rowOff>76200</xdr:rowOff>
    </xdr:to>
    <xdr:pic>
      <xdr:nvPicPr>
        <xdr:cNvPr id="3" name="Imagen 2" descr="Interfaz de usuario gráfica, Texto, Aplicación, Word&#10;&#10;Descripción generada automáticamente">
          <a:extLst>
            <a:ext uri="{FF2B5EF4-FFF2-40B4-BE49-F238E27FC236}">
              <a16:creationId xmlns:a16="http://schemas.microsoft.com/office/drawing/2014/main" id="{B8EFBDA4-096A-02E8-0986-BED21220AA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173926" cy="8671560"/>
        </a:xfrm>
        <a:prstGeom prst="rect">
          <a:avLst/>
        </a:prstGeom>
      </xdr:spPr>
    </xdr:pic>
    <xdr:clientData/>
  </xdr:twoCellAnchor>
  <xdr:twoCellAnchor editAs="oneCell">
    <xdr:from>
      <xdr:col>3</xdr:col>
      <xdr:colOff>689610</xdr:colOff>
      <xdr:row>43</xdr:row>
      <xdr:rowOff>28576</xdr:rowOff>
    </xdr:from>
    <xdr:to>
      <xdr:col>13</xdr:col>
      <xdr:colOff>685800</xdr:colOff>
      <xdr:row>52</xdr:row>
      <xdr:rowOff>172974</xdr:rowOff>
    </xdr:to>
    <xdr:pic>
      <xdr:nvPicPr>
        <xdr:cNvPr id="5" name="Imagen 4" descr="Interfaz de usuario gráfica, Sitio web&#10;&#10;Descripción generada automáticamente">
          <a:hlinkClick xmlns:r="http://schemas.openxmlformats.org/officeDocument/2006/relationships" r:id="rId2"/>
          <a:extLst>
            <a:ext uri="{FF2B5EF4-FFF2-40B4-BE49-F238E27FC236}">
              <a16:creationId xmlns:a16="http://schemas.microsoft.com/office/drawing/2014/main" id="{5A2DF71F-034D-2194-349C-10F17C41620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044190" y="7892416"/>
          <a:ext cx="7844790" cy="17903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223526</xdr:colOff>
      <xdr:row>31</xdr:row>
      <xdr:rowOff>144780</xdr:rowOff>
    </xdr:to>
    <xdr:pic>
      <xdr:nvPicPr>
        <xdr:cNvPr id="4" name="Imagen 3">
          <a:extLst>
            <a:ext uri="{FF2B5EF4-FFF2-40B4-BE49-F238E27FC236}">
              <a16:creationId xmlns:a16="http://schemas.microsoft.com/office/drawing/2014/main" id="{799E051F-99FF-8875-4E49-B6CED1A935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3566146" cy="5814060"/>
        </a:xfrm>
        <a:prstGeom prst="rect">
          <a:avLst/>
        </a:prstGeom>
      </xdr:spPr>
    </xdr:pic>
    <xdr:clientData/>
  </xdr:twoCellAnchor>
  <xdr:twoCellAnchor editAs="oneCell">
    <xdr:from>
      <xdr:col>1</xdr:col>
      <xdr:colOff>327660</xdr:colOff>
      <xdr:row>26</xdr:row>
      <xdr:rowOff>34290</xdr:rowOff>
    </xdr:from>
    <xdr:to>
      <xdr:col>8</xdr:col>
      <xdr:colOff>27235</xdr:colOff>
      <xdr:row>33</xdr:row>
      <xdr:rowOff>0</xdr:rowOff>
    </xdr:to>
    <xdr:pic>
      <xdr:nvPicPr>
        <xdr:cNvPr id="5" name="Imagen 4" descr="Texto&#10;&#10;Descripción generada automáticamente">
          <a:hlinkClick xmlns:r="http://schemas.openxmlformats.org/officeDocument/2006/relationships" r:id="rId2"/>
          <a:extLst>
            <a:ext uri="{FF2B5EF4-FFF2-40B4-BE49-F238E27FC236}">
              <a16:creationId xmlns:a16="http://schemas.microsoft.com/office/drawing/2014/main" id="{204EE3B4-B261-8667-F65E-DA6FEB7C02F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12520" y="4789170"/>
          <a:ext cx="5193595" cy="12458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162561</xdr:colOff>
      <xdr:row>1</xdr:row>
      <xdr:rowOff>144567</xdr:rowOff>
    </xdr:from>
    <xdr:to>
      <xdr:col>1</xdr:col>
      <xdr:colOff>779633</xdr:colOff>
      <xdr:row>2</xdr:row>
      <xdr:rowOff>246313</xdr:rowOff>
    </xdr:to>
    <xdr:pic>
      <xdr:nvPicPr>
        <xdr:cNvPr id="8" name="Imagen 7">
          <a:extLst>
            <a:ext uri="{FF2B5EF4-FFF2-40B4-BE49-F238E27FC236}">
              <a16:creationId xmlns:a16="http://schemas.microsoft.com/office/drawing/2014/main" id="{B2D9DF19-A49F-4D27-9852-25239CC2C9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2561" y="339300"/>
          <a:ext cx="1795368" cy="306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317892</xdr:colOff>
      <xdr:row>272</xdr:row>
      <xdr:rowOff>158585</xdr:rowOff>
    </xdr:from>
    <xdr:to>
      <xdr:col>5</xdr:col>
      <xdr:colOff>668886</xdr:colOff>
      <xdr:row>274</xdr:row>
      <xdr:rowOff>98058</xdr:rowOff>
    </xdr:to>
    <xdr:pic>
      <xdr:nvPicPr>
        <xdr:cNvPr id="10" name="Imagen 9">
          <a:extLst>
            <a:ext uri="{FF2B5EF4-FFF2-40B4-BE49-F238E27FC236}">
              <a16:creationId xmlns:a16="http://schemas.microsoft.com/office/drawing/2014/main" id="{D8E0AE19-510F-4253-BA2E-DAEA7AB7D81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10642" y="63859668"/>
          <a:ext cx="1803315" cy="3128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292509</xdr:colOff>
      <xdr:row>89</xdr:row>
      <xdr:rowOff>245420</xdr:rowOff>
    </xdr:from>
    <xdr:to>
      <xdr:col>9</xdr:col>
      <xdr:colOff>1202531</xdr:colOff>
      <xdr:row>89</xdr:row>
      <xdr:rowOff>751827</xdr:rowOff>
    </xdr:to>
    <xdr:sp macro="" textlink="">
      <xdr:nvSpPr>
        <xdr:cNvPr id="23" name="Rectángulo: esquinas redondeadas 22">
          <a:hlinkClick xmlns:r="http://schemas.openxmlformats.org/officeDocument/2006/relationships" r:id="rId3"/>
          <a:extLst>
            <a:ext uri="{FF2B5EF4-FFF2-40B4-BE49-F238E27FC236}">
              <a16:creationId xmlns:a16="http://schemas.microsoft.com/office/drawing/2014/main" id="{4712EB75-B257-4B9F-90D1-B7B07D813F74}"/>
            </a:ext>
          </a:extLst>
        </xdr:cNvPr>
        <xdr:cNvSpPr/>
      </xdr:nvSpPr>
      <xdr:spPr>
        <a:xfrm>
          <a:off x="14115665" y="60848233"/>
          <a:ext cx="2362585" cy="506407"/>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Ir a contexto</a:t>
          </a:r>
          <a:r>
            <a:rPr lang="es-MX" sz="1000" b="1" baseline="0">
              <a:solidFill>
                <a:schemeClr val="bg1"/>
              </a:solidFill>
              <a:latin typeface="Arial" panose="020B0604020202020204" pitchFamily="34" charset="0"/>
              <a:cs typeface="Arial" panose="020B0604020202020204" pitchFamily="34" charset="0"/>
            </a:rPr>
            <a:t> y normativa sobre pagos a salud prepagada</a:t>
          </a:r>
          <a:endParaRPr lang="es-MX" sz="1000" b="1">
            <a:solidFill>
              <a:schemeClr val="bg1"/>
            </a:solidFill>
            <a:latin typeface="Arial" panose="020B0604020202020204" pitchFamily="34" charset="0"/>
            <a:cs typeface="Arial" panose="020B0604020202020204" pitchFamily="34" charset="0"/>
          </a:endParaRPr>
        </a:p>
      </xdr:txBody>
    </xdr:sp>
    <xdr:clientData/>
  </xdr:twoCellAnchor>
  <xdr:twoCellAnchor>
    <xdr:from>
      <xdr:col>8</xdr:col>
      <xdr:colOff>198442</xdr:colOff>
      <xdr:row>107</xdr:row>
      <xdr:rowOff>198440</xdr:rowOff>
    </xdr:from>
    <xdr:to>
      <xdr:col>10</xdr:col>
      <xdr:colOff>83344</xdr:colOff>
      <xdr:row>107</xdr:row>
      <xdr:rowOff>744823</xdr:rowOff>
    </xdr:to>
    <xdr:sp macro="" textlink="">
      <xdr:nvSpPr>
        <xdr:cNvPr id="26" name="Rectángulo: esquinas redondeadas 25">
          <a:hlinkClick xmlns:r="http://schemas.openxmlformats.org/officeDocument/2006/relationships" r:id="rId4"/>
          <a:extLst>
            <a:ext uri="{FF2B5EF4-FFF2-40B4-BE49-F238E27FC236}">
              <a16:creationId xmlns:a16="http://schemas.microsoft.com/office/drawing/2014/main" id="{EAB81AF9-40CE-4B56-81EE-27A5753D966C}"/>
            </a:ext>
          </a:extLst>
        </xdr:cNvPr>
        <xdr:cNvSpPr/>
      </xdr:nvSpPr>
      <xdr:spPr>
        <a:xfrm>
          <a:off x="14021598" y="74433909"/>
          <a:ext cx="2647152" cy="546383"/>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Ir a contexto y normativa renta exenta numeral</a:t>
          </a:r>
          <a:r>
            <a:rPr lang="es-MX" sz="1000" b="1" baseline="0">
              <a:solidFill>
                <a:schemeClr val="bg1"/>
              </a:solidFill>
              <a:latin typeface="Arial" panose="020B0604020202020204" pitchFamily="34" charset="0"/>
              <a:cs typeface="Arial" panose="020B0604020202020204" pitchFamily="34" charset="0"/>
            </a:rPr>
            <a:t> 10 artículo 206 del ET</a:t>
          </a:r>
          <a:endParaRPr lang="es-MX" sz="1000" b="1">
            <a:solidFill>
              <a:schemeClr val="bg1"/>
            </a:solidFill>
            <a:latin typeface="Arial" panose="020B0604020202020204" pitchFamily="34" charset="0"/>
            <a:cs typeface="Arial" panose="020B0604020202020204" pitchFamily="34" charset="0"/>
          </a:endParaRPr>
        </a:p>
      </xdr:txBody>
    </xdr:sp>
    <xdr:clientData/>
  </xdr:twoCellAnchor>
  <xdr:twoCellAnchor>
    <xdr:from>
      <xdr:col>8</xdr:col>
      <xdr:colOff>232474</xdr:colOff>
      <xdr:row>114</xdr:row>
      <xdr:rowOff>369552</xdr:rowOff>
    </xdr:from>
    <xdr:to>
      <xdr:col>9</xdr:col>
      <xdr:colOff>841533</xdr:colOff>
      <xdr:row>115</xdr:row>
      <xdr:rowOff>166688</xdr:rowOff>
    </xdr:to>
    <xdr:sp macro="" textlink="">
      <xdr:nvSpPr>
        <xdr:cNvPr id="29" name="Rectángulo: esquinas redondeadas 28">
          <a:hlinkClick xmlns:r="http://schemas.openxmlformats.org/officeDocument/2006/relationships" r:id="rId5"/>
          <a:extLst>
            <a:ext uri="{FF2B5EF4-FFF2-40B4-BE49-F238E27FC236}">
              <a16:creationId xmlns:a16="http://schemas.microsoft.com/office/drawing/2014/main" id="{20C44941-1E23-4929-B1C6-0174D549EEA5}"/>
            </a:ext>
          </a:extLst>
        </xdr:cNvPr>
        <xdr:cNvSpPr/>
      </xdr:nvSpPr>
      <xdr:spPr>
        <a:xfrm>
          <a:off x="14055630" y="79903302"/>
          <a:ext cx="2061622" cy="499605"/>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Ir a contexto y normativa sobre límites</a:t>
          </a:r>
        </a:p>
      </xdr:txBody>
    </xdr:sp>
    <xdr:clientData/>
  </xdr:twoCellAnchor>
  <xdr:twoCellAnchor>
    <xdr:from>
      <xdr:col>8</xdr:col>
      <xdr:colOff>270934</xdr:colOff>
      <xdr:row>16</xdr:row>
      <xdr:rowOff>924559</xdr:rowOff>
    </xdr:from>
    <xdr:to>
      <xdr:col>9</xdr:col>
      <xdr:colOff>821267</xdr:colOff>
      <xdr:row>17</xdr:row>
      <xdr:rowOff>169333</xdr:rowOff>
    </xdr:to>
    <xdr:sp macro="" textlink="">
      <xdr:nvSpPr>
        <xdr:cNvPr id="4" name="Rectángulo: esquinas redondeadas 3">
          <a:hlinkClick xmlns:r="http://schemas.openxmlformats.org/officeDocument/2006/relationships" r:id="rId6"/>
          <a:extLst>
            <a:ext uri="{FF2B5EF4-FFF2-40B4-BE49-F238E27FC236}">
              <a16:creationId xmlns:a16="http://schemas.microsoft.com/office/drawing/2014/main" id="{B2521BAA-26BD-41EC-AB67-ED13AC3CD9D0}"/>
            </a:ext>
          </a:extLst>
        </xdr:cNvPr>
        <xdr:cNvSpPr/>
      </xdr:nvSpPr>
      <xdr:spPr>
        <a:xfrm>
          <a:off x="13157201" y="6969759"/>
          <a:ext cx="2006599" cy="455507"/>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Ir</a:t>
          </a:r>
          <a:r>
            <a:rPr lang="es-MX" sz="1000" b="1" baseline="0">
              <a:solidFill>
                <a:schemeClr val="bg1"/>
              </a:solidFill>
              <a:latin typeface="Arial" panose="020B0604020202020204" pitchFamily="34" charset="0"/>
              <a:cs typeface="Arial" panose="020B0604020202020204" pitchFamily="34" charset="0"/>
            </a:rPr>
            <a:t> a contexto y normativa sobre cesantías</a:t>
          </a:r>
          <a:endParaRPr lang="es-MX" sz="1000" b="1">
            <a:solidFill>
              <a:schemeClr val="bg1"/>
            </a:solidFill>
            <a:latin typeface="Arial" panose="020B0604020202020204" pitchFamily="34" charset="0"/>
            <a:cs typeface="Arial" panose="020B0604020202020204" pitchFamily="34" charset="0"/>
          </a:endParaRPr>
        </a:p>
      </xdr:txBody>
    </xdr:sp>
    <xdr:clientData/>
  </xdr:twoCellAnchor>
  <xdr:twoCellAnchor>
    <xdr:from>
      <xdr:col>8</xdr:col>
      <xdr:colOff>324174</xdr:colOff>
      <xdr:row>90</xdr:row>
      <xdr:rowOff>285052</xdr:rowOff>
    </xdr:from>
    <xdr:to>
      <xdr:col>9</xdr:col>
      <xdr:colOff>1214436</xdr:colOff>
      <xdr:row>90</xdr:row>
      <xdr:rowOff>800984</xdr:rowOff>
    </xdr:to>
    <xdr:sp macro="" textlink="">
      <xdr:nvSpPr>
        <xdr:cNvPr id="6" name="Rectángulo: esquinas redondeadas 5">
          <a:hlinkClick xmlns:r="http://schemas.openxmlformats.org/officeDocument/2006/relationships" r:id="rId7"/>
          <a:extLst>
            <a:ext uri="{FF2B5EF4-FFF2-40B4-BE49-F238E27FC236}">
              <a16:creationId xmlns:a16="http://schemas.microsoft.com/office/drawing/2014/main" id="{4DDFAF28-7AF3-4268-96B5-4099F50FC985}"/>
            </a:ext>
          </a:extLst>
        </xdr:cNvPr>
        <xdr:cNvSpPr/>
      </xdr:nvSpPr>
      <xdr:spPr>
        <a:xfrm>
          <a:off x="14147330" y="61935615"/>
          <a:ext cx="2342825" cy="515932"/>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Ir</a:t>
          </a:r>
          <a:r>
            <a:rPr lang="es-MX" sz="1000" b="1" baseline="0">
              <a:solidFill>
                <a:schemeClr val="bg1"/>
              </a:solidFill>
              <a:latin typeface="Arial" panose="020B0604020202020204" pitchFamily="34" charset="0"/>
              <a:cs typeface="Arial" panose="020B0604020202020204" pitchFamily="34" charset="0"/>
            </a:rPr>
            <a:t> a contexto y normativa sobre  GMF</a:t>
          </a:r>
          <a:endParaRPr lang="es-MX" sz="1000" b="1">
            <a:solidFill>
              <a:schemeClr val="bg1"/>
            </a:solidFill>
            <a:latin typeface="Arial" panose="020B0604020202020204" pitchFamily="34" charset="0"/>
            <a:cs typeface="Arial" panose="020B0604020202020204" pitchFamily="34" charset="0"/>
          </a:endParaRPr>
        </a:p>
      </xdr:txBody>
    </xdr:sp>
    <xdr:clientData/>
  </xdr:twoCellAnchor>
  <xdr:twoCellAnchor>
    <xdr:from>
      <xdr:col>8</xdr:col>
      <xdr:colOff>324418</xdr:colOff>
      <xdr:row>91</xdr:row>
      <xdr:rowOff>170172</xdr:rowOff>
    </xdr:from>
    <xdr:to>
      <xdr:col>9</xdr:col>
      <xdr:colOff>1212532</xdr:colOff>
      <xdr:row>91</xdr:row>
      <xdr:rowOff>682294</xdr:rowOff>
    </xdr:to>
    <xdr:sp macro="" textlink="">
      <xdr:nvSpPr>
        <xdr:cNvPr id="7" name="Rectángulo: esquinas redondeadas 6">
          <a:hlinkClick xmlns:r="http://schemas.openxmlformats.org/officeDocument/2006/relationships" r:id="rId8"/>
          <a:extLst>
            <a:ext uri="{FF2B5EF4-FFF2-40B4-BE49-F238E27FC236}">
              <a16:creationId xmlns:a16="http://schemas.microsoft.com/office/drawing/2014/main" id="{999CF443-EB3C-46D8-A463-39AFAADE2A7F}"/>
            </a:ext>
          </a:extLst>
        </xdr:cNvPr>
        <xdr:cNvSpPr/>
      </xdr:nvSpPr>
      <xdr:spPr>
        <a:xfrm>
          <a:off x="14147574" y="62999453"/>
          <a:ext cx="2340677" cy="512122"/>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Ir a contexto y normativa sobre</a:t>
          </a:r>
          <a:r>
            <a:rPr lang="es-MX" sz="1000" b="1" baseline="0">
              <a:solidFill>
                <a:schemeClr val="bg1"/>
              </a:solidFill>
              <a:latin typeface="Arial" panose="020B0604020202020204" pitchFamily="34" charset="0"/>
              <a:cs typeface="Arial" panose="020B0604020202020204" pitchFamily="34" charset="0"/>
            </a:rPr>
            <a:t> intereses Icetex</a:t>
          </a:r>
          <a:endParaRPr lang="es-MX" sz="1000" b="1">
            <a:solidFill>
              <a:schemeClr val="bg1"/>
            </a:solidFill>
            <a:latin typeface="Arial" panose="020B0604020202020204" pitchFamily="34" charset="0"/>
            <a:cs typeface="Arial" panose="020B0604020202020204" pitchFamily="34" charset="0"/>
          </a:endParaRPr>
        </a:p>
      </xdr:txBody>
    </xdr:sp>
    <xdr:clientData/>
  </xdr:twoCellAnchor>
  <xdr:twoCellAnchor>
    <xdr:from>
      <xdr:col>8</xdr:col>
      <xdr:colOff>265324</xdr:colOff>
      <xdr:row>18</xdr:row>
      <xdr:rowOff>223678</xdr:rowOff>
    </xdr:from>
    <xdr:to>
      <xdr:col>9</xdr:col>
      <xdr:colOff>821372</xdr:colOff>
      <xdr:row>18</xdr:row>
      <xdr:rowOff>742261</xdr:rowOff>
    </xdr:to>
    <xdr:sp macro="" textlink="">
      <xdr:nvSpPr>
        <xdr:cNvPr id="16" name="Rectángulo: esquinas redondeadas 15">
          <a:hlinkClick xmlns:r="http://schemas.openxmlformats.org/officeDocument/2006/relationships" r:id="rId9"/>
          <a:extLst>
            <a:ext uri="{FF2B5EF4-FFF2-40B4-BE49-F238E27FC236}">
              <a16:creationId xmlns:a16="http://schemas.microsoft.com/office/drawing/2014/main" id="{47D6AB1E-3A4F-4F5B-828F-07C694434024}"/>
            </a:ext>
          </a:extLst>
        </xdr:cNvPr>
        <xdr:cNvSpPr/>
      </xdr:nvSpPr>
      <xdr:spPr>
        <a:xfrm>
          <a:off x="13124074" y="8558053"/>
          <a:ext cx="2008611" cy="518583"/>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Ir</a:t>
          </a:r>
          <a:r>
            <a:rPr lang="es-MX" sz="1000" b="1" baseline="0">
              <a:solidFill>
                <a:schemeClr val="bg1"/>
              </a:solidFill>
              <a:latin typeface="Arial" panose="020B0604020202020204" pitchFamily="34" charset="0"/>
              <a:cs typeface="Arial" panose="020B0604020202020204" pitchFamily="34" charset="0"/>
            </a:rPr>
            <a:t> a contexto y normativa sobre apoyos económicos</a:t>
          </a:r>
          <a:endParaRPr lang="es-MX" sz="1000" b="1">
            <a:solidFill>
              <a:schemeClr val="bg1"/>
            </a:solidFill>
            <a:latin typeface="Arial" panose="020B0604020202020204" pitchFamily="34" charset="0"/>
            <a:cs typeface="Arial" panose="020B0604020202020204" pitchFamily="34" charset="0"/>
          </a:endParaRPr>
        </a:p>
      </xdr:txBody>
    </xdr:sp>
    <xdr:clientData/>
  </xdr:twoCellAnchor>
  <xdr:twoCellAnchor>
    <xdr:from>
      <xdr:col>8</xdr:col>
      <xdr:colOff>266171</xdr:colOff>
      <xdr:row>20</xdr:row>
      <xdr:rowOff>73925</xdr:rowOff>
    </xdr:from>
    <xdr:to>
      <xdr:col>9</xdr:col>
      <xdr:colOff>814599</xdr:colOff>
      <xdr:row>20</xdr:row>
      <xdr:rowOff>596318</xdr:rowOff>
    </xdr:to>
    <xdr:sp macro="" textlink="">
      <xdr:nvSpPr>
        <xdr:cNvPr id="17" name="Rectángulo: esquinas redondeadas 16">
          <a:hlinkClick xmlns:r="http://schemas.openxmlformats.org/officeDocument/2006/relationships" r:id="rId10"/>
          <a:extLst>
            <a:ext uri="{FF2B5EF4-FFF2-40B4-BE49-F238E27FC236}">
              <a16:creationId xmlns:a16="http://schemas.microsoft.com/office/drawing/2014/main" id="{EF29B226-1807-4D78-8394-4F9467019DDB}"/>
            </a:ext>
          </a:extLst>
        </xdr:cNvPr>
        <xdr:cNvSpPr/>
      </xdr:nvSpPr>
      <xdr:spPr>
        <a:xfrm>
          <a:off x="13124921" y="9991831"/>
          <a:ext cx="2000991" cy="522393"/>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Ir</a:t>
          </a:r>
          <a:r>
            <a:rPr lang="es-MX" sz="1000" b="1" baseline="0">
              <a:solidFill>
                <a:schemeClr val="bg1"/>
              </a:solidFill>
              <a:latin typeface="Arial" panose="020B0604020202020204" pitchFamily="34" charset="0"/>
              <a:cs typeface="Arial" panose="020B0604020202020204" pitchFamily="34" charset="0"/>
            </a:rPr>
            <a:t> a contexto y normativa sobre rentas laborales</a:t>
          </a:r>
          <a:endParaRPr lang="es-MX" sz="1000" b="1">
            <a:solidFill>
              <a:schemeClr val="bg1"/>
            </a:solidFill>
            <a:latin typeface="Arial" panose="020B0604020202020204" pitchFamily="34" charset="0"/>
            <a:cs typeface="Arial" panose="020B0604020202020204" pitchFamily="34" charset="0"/>
          </a:endParaRPr>
        </a:p>
      </xdr:txBody>
    </xdr:sp>
    <xdr:clientData/>
  </xdr:twoCellAnchor>
  <xdr:twoCellAnchor>
    <xdr:from>
      <xdr:col>8</xdr:col>
      <xdr:colOff>255902</xdr:colOff>
      <xdr:row>35</xdr:row>
      <xdr:rowOff>431984</xdr:rowOff>
    </xdr:from>
    <xdr:to>
      <xdr:col>9</xdr:col>
      <xdr:colOff>968845</xdr:colOff>
      <xdr:row>36</xdr:row>
      <xdr:rowOff>246776</xdr:rowOff>
    </xdr:to>
    <xdr:sp macro="" textlink="">
      <xdr:nvSpPr>
        <xdr:cNvPr id="20" name="Rectángulo: esquinas redondeadas 19">
          <a:hlinkClick xmlns:r="http://schemas.openxmlformats.org/officeDocument/2006/relationships" r:id="rId11"/>
          <a:extLst>
            <a:ext uri="{FF2B5EF4-FFF2-40B4-BE49-F238E27FC236}">
              <a16:creationId xmlns:a16="http://schemas.microsoft.com/office/drawing/2014/main" id="{690691BD-7665-4CB7-8EC2-5101459FE32C}"/>
            </a:ext>
          </a:extLst>
        </xdr:cNvPr>
        <xdr:cNvSpPr/>
      </xdr:nvSpPr>
      <xdr:spPr>
        <a:xfrm>
          <a:off x="14079058" y="22208515"/>
          <a:ext cx="2165506" cy="505355"/>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Ir</a:t>
          </a:r>
          <a:r>
            <a:rPr lang="es-MX" sz="1000" b="1" baseline="0">
              <a:solidFill>
                <a:schemeClr val="bg1"/>
              </a:solidFill>
              <a:latin typeface="Arial" panose="020B0604020202020204" pitchFamily="34" charset="0"/>
              <a:cs typeface="Arial" panose="020B0604020202020204" pitchFamily="34" charset="0"/>
            </a:rPr>
            <a:t> a contexto y normativa sobre aportes a pensiones y FSP</a:t>
          </a:r>
          <a:endParaRPr lang="es-MX" sz="1000" b="1">
            <a:solidFill>
              <a:schemeClr val="bg1"/>
            </a:solidFill>
            <a:latin typeface="Arial" panose="020B0604020202020204" pitchFamily="34" charset="0"/>
            <a:cs typeface="Arial" panose="020B0604020202020204" pitchFamily="34" charset="0"/>
          </a:endParaRPr>
        </a:p>
      </xdr:txBody>
    </xdr:sp>
    <xdr:clientData/>
  </xdr:twoCellAnchor>
  <xdr:twoCellAnchor>
    <xdr:from>
      <xdr:col>8</xdr:col>
      <xdr:colOff>264768</xdr:colOff>
      <xdr:row>37</xdr:row>
      <xdr:rowOff>203385</xdr:rowOff>
    </xdr:from>
    <xdr:to>
      <xdr:col>9</xdr:col>
      <xdr:colOff>989141</xdr:colOff>
      <xdr:row>38</xdr:row>
      <xdr:rowOff>293794</xdr:rowOff>
    </xdr:to>
    <xdr:sp macro="" textlink="">
      <xdr:nvSpPr>
        <xdr:cNvPr id="30" name="Rectángulo: esquinas redondeadas 29">
          <a:hlinkClick xmlns:r="http://schemas.openxmlformats.org/officeDocument/2006/relationships" r:id="rId12"/>
          <a:extLst>
            <a:ext uri="{FF2B5EF4-FFF2-40B4-BE49-F238E27FC236}">
              <a16:creationId xmlns:a16="http://schemas.microsoft.com/office/drawing/2014/main" id="{0EED57E2-74E5-449A-B03F-DA9CB78EC191}"/>
            </a:ext>
          </a:extLst>
        </xdr:cNvPr>
        <xdr:cNvSpPr/>
      </xdr:nvSpPr>
      <xdr:spPr>
        <a:xfrm>
          <a:off x="14087924" y="23361041"/>
          <a:ext cx="2176936" cy="507128"/>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Ir</a:t>
          </a:r>
          <a:r>
            <a:rPr lang="es-MX" sz="1000" b="1" baseline="0">
              <a:solidFill>
                <a:schemeClr val="bg1"/>
              </a:solidFill>
              <a:latin typeface="Arial" panose="020B0604020202020204" pitchFamily="34" charset="0"/>
              <a:cs typeface="Arial" panose="020B0604020202020204" pitchFamily="34" charset="0"/>
            </a:rPr>
            <a:t> a contexto y normativa sobre aportes voluntarios a FPO</a:t>
          </a:r>
          <a:endParaRPr lang="es-MX" sz="1000" b="1">
            <a:solidFill>
              <a:schemeClr val="bg1"/>
            </a:solidFill>
            <a:latin typeface="Arial" panose="020B0604020202020204" pitchFamily="34" charset="0"/>
            <a:cs typeface="Arial" panose="020B0604020202020204" pitchFamily="34" charset="0"/>
          </a:endParaRPr>
        </a:p>
      </xdr:txBody>
    </xdr:sp>
    <xdr:clientData/>
  </xdr:twoCellAnchor>
  <xdr:twoCellAnchor>
    <xdr:from>
      <xdr:col>8</xdr:col>
      <xdr:colOff>250744</xdr:colOff>
      <xdr:row>39</xdr:row>
      <xdr:rowOff>93573</xdr:rowOff>
    </xdr:from>
    <xdr:to>
      <xdr:col>9</xdr:col>
      <xdr:colOff>965592</xdr:colOff>
      <xdr:row>39</xdr:row>
      <xdr:rowOff>616944</xdr:rowOff>
    </xdr:to>
    <xdr:sp macro="" textlink="">
      <xdr:nvSpPr>
        <xdr:cNvPr id="31" name="Rectángulo: esquinas redondeadas 30">
          <a:hlinkClick xmlns:r="http://schemas.openxmlformats.org/officeDocument/2006/relationships" r:id="rId13"/>
          <a:extLst>
            <a:ext uri="{FF2B5EF4-FFF2-40B4-BE49-F238E27FC236}">
              <a16:creationId xmlns:a16="http://schemas.microsoft.com/office/drawing/2014/main" id="{571D7E04-9277-45C9-ACDF-475CE31E1859}"/>
            </a:ext>
          </a:extLst>
        </xdr:cNvPr>
        <xdr:cNvSpPr/>
      </xdr:nvSpPr>
      <xdr:spPr>
        <a:xfrm>
          <a:off x="14073900" y="24108479"/>
          <a:ext cx="2167411" cy="523371"/>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Ir</a:t>
          </a:r>
          <a:r>
            <a:rPr lang="es-MX" sz="1000" b="1" baseline="0">
              <a:solidFill>
                <a:schemeClr val="bg1"/>
              </a:solidFill>
              <a:latin typeface="Arial" panose="020B0604020202020204" pitchFamily="34" charset="0"/>
              <a:cs typeface="Arial" panose="020B0604020202020204" pitchFamily="34" charset="0"/>
            </a:rPr>
            <a:t> a contexto y normativa sobre aportes a salud</a:t>
          </a:r>
          <a:endParaRPr lang="es-MX" sz="1000" b="1">
            <a:solidFill>
              <a:schemeClr val="bg1"/>
            </a:solidFill>
            <a:latin typeface="Arial" panose="020B0604020202020204" pitchFamily="34" charset="0"/>
            <a:cs typeface="Arial" panose="020B0604020202020204" pitchFamily="34" charset="0"/>
          </a:endParaRPr>
        </a:p>
      </xdr:txBody>
    </xdr:sp>
    <xdr:clientData/>
  </xdr:twoCellAnchor>
  <xdr:twoCellAnchor>
    <xdr:from>
      <xdr:col>8</xdr:col>
      <xdr:colOff>254210</xdr:colOff>
      <xdr:row>40</xdr:row>
      <xdr:rowOff>247646</xdr:rowOff>
    </xdr:from>
    <xdr:to>
      <xdr:col>9</xdr:col>
      <xdr:colOff>969058</xdr:colOff>
      <xdr:row>40</xdr:row>
      <xdr:rowOff>771017</xdr:rowOff>
    </xdr:to>
    <xdr:sp macro="" textlink="">
      <xdr:nvSpPr>
        <xdr:cNvPr id="33" name="Rectángulo: esquinas redondeadas 32">
          <a:hlinkClick xmlns:r="http://schemas.openxmlformats.org/officeDocument/2006/relationships" r:id="rId14"/>
          <a:extLst>
            <a:ext uri="{FF2B5EF4-FFF2-40B4-BE49-F238E27FC236}">
              <a16:creationId xmlns:a16="http://schemas.microsoft.com/office/drawing/2014/main" id="{24B8CC88-3569-42AD-A472-6D309D2304F2}"/>
            </a:ext>
          </a:extLst>
        </xdr:cNvPr>
        <xdr:cNvSpPr/>
      </xdr:nvSpPr>
      <xdr:spPr>
        <a:xfrm>
          <a:off x="14077366" y="24953115"/>
          <a:ext cx="2167411" cy="523371"/>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Ir</a:t>
          </a:r>
          <a:r>
            <a:rPr lang="es-MX" sz="1000" b="1" baseline="0">
              <a:solidFill>
                <a:schemeClr val="bg1"/>
              </a:solidFill>
              <a:latin typeface="Arial" panose="020B0604020202020204" pitchFamily="34" charset="0"/>
              <a:cs typeface="Arial" panose="020B0604020202020204" pitchFamily="34" charset="0"/>
            </a:rPr>
            <a:t> a contexto y normativa sobre proyectos de innovación</a:t>
          </a:r>
          <a:endParaRPr lang="es-MX" sz="1000" b="1">
            <a:solidFill>
              <a:schemeClr val="bg1"/>
            </a:solidFill>
            <a:latin typeface="Arial" panose="020B0604020202020204" pitchFamily="34" charset="0"/>
            <a:cs typeface="Arial" panose="020B0604020202020204" pitchFamily="34" charset="0"/>
          </a:endParaRPr>
        </a:p>
      </xdr:txBody>
    </xdr:sp>
    <xdr:clientData/>
  </xdr:twoCellAnchor>
  <xdr:twoCellAnchor>
    <xdr:from>
      <xdr:col>8</xdr:col>
      <xdr:colOff>273469</xdr:colOff>
      <xdr:row>51</xdr:row>
      <xdr:rowOff>282335</xdr:rowOff>
    </xdr:from>
    <xdr:to>
      <xdr:col>9</xdr:col>
      <xdr:colOff>988317</xdr:colOff>
      <xdr:row>52</xdr:row>
      <xdr:rowOff>147670</xdr:rowOff>
    </xdr:to>
    <xdr:sp macro="" textlink="">
      <xdr:nvSpPr>
        <xdr:cNvPr id="34" name="Rectángulo: esquinas redondeadas 33">
          <a:hlinkClick xmlns:r="http://schemas.openxmlformats.org/officeDocument/2006/relationships" r:id="rId15"/>
          <a:extLst>
            <a:ext uri="{FF2B5EF4-FFF2-40B4-BE49-F238E27FC236}">
              <a16:creationId xmlns:a16="http://schemas.microsoft.com/office/drawing/2014/main" id="{F86D2031-6F9E-49A2-8661-2FA9A4EEBEC1}"/>
            </a:ext>
          </a:extLst>
        </xdr:cNvPr>
        <xdr:cNvSpPr/>
      </xdr:nvSpPr>
      <xdr:spPr>
        <a:xfrm>
          <a:off x="14096625" y="31476710"/>
          <a:ext cx="2167411" cy="508273"/>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Ir</a:t>
          </a:r>
          <a:r>
            <a:rPr lang="es-MX" sz="1000" b="1" baseline="0">
              <a:solidFill>
                <a:schemeClr val="bg1"/>
              </a:solidFill>
              <a:latin typeface="Arial" panose="020B0604020202020204" pitchFamily="34" charset="0"/>
              <a:cs typeface="Arial" panose="020B0604020202020204" pitchFamily="34" charset="0"/>
            </a:rPr>
            <a:t> a contexto y normativa sobre aportes voluntarios a FPV</a:t>
          </a:r>
          <a:endParaRPr lang="es-MX" sz="1000" b="1">
            <a:solidFill>
              <a:schemeClr val="bg1"/>
            </a:solidFill>
            <a:latin typeface="Arial" panose="020B0604020202020204" pitchFamily="34" charset="0"/>
            <a:cs typeface="Arial" panose="020B0604020202020204" pitchFamily="34" charset="0"/>
          </a:endParaRPr>
        </a:p>
      </xdr:txBody>
    </xdr:sp>
    <xdr:clientData/>
  </xdr:twoCellAnchor>
  <xdr:twoCellAnchor>
    <xdr:from>
      <xdr:col>8</xdr:col>
      <xdr:colOff>272489</xdr:colOff>
      <xdr:row>56</xdr:row>
      <xdr:rowOff>507922</xdr:rowOff>
    </xdr:from>
    <xdr:to>
      <xdr:col>9</xdr:col>
      <xdr:colOff>987337</xdr:colOff>
      <xdr:row>57</xdr:row>
      <xdr:rowOff>297057</xdr:rowOff>
    </xdr:to>
    <xdr:sp macro="" textlink="">
      <xdr:nvSpPr>
        <xdr:cNvPr id="35" name="Rectángulo: esquinas redondeadas 34">
          <a:hlinkClick xmlns:r="http://schemas.openxmlformats.org/officeDocument/2006/relationships" r:id="rId16"/>
          <a:extLst>
            <a:ext uri="{FF2B5EF4-FFF2-40B4-BE49-F238E27FC236}">
              <a16:creationId xmlns:a16="http://schemas.microsoft.com/office/drawing/2014/main" id="{0C50796F-7ADF-434D-9502-16713411494E}"/>
            </a:ext>
          </a:extLst>
        </xdr:cNvPr>
        <xdr:cNvSpPr/>
      </xdr:nvSpPr>
      <xdr:spPr>
        <a:xfrm>
          <a:off x="14095645" y="34916985"/>
          <a:ext cx="2167411" cy="515416"/>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Ir</a:t>
          </a:r>
          <a:r>
            <a:rPr lang="es-MX" sz="1000" b="1" baseline="0">
              <a:solidFill>
                <a:schemeClr val="bg1"/>
              </a:solidFill>
              <a:latin typeface="Arial" panose="020B0604020202020204" pitchFamily="34" charset="0"/>
              <a:cs typeface="Arial" panose="020B0604020202020204" pitchFamily="34" charset="0"/>
            </a:rPr>
            <a:t> a contexto y normativa sobre otras rentas exentas </a:t>
          </a:r>
          <a:endParaRPr lang="es-MX" sz="1000" b="1">
            <a:solidFill>
              <a:schemeClr val="bg1"/>
            </a:solidFill>
            <a:latin typeface="Arial" panose="020B0604020202020204" pitchFamily="34" charset="0"/>
            <a:cs typeface="Arial" panose="020B0604020202020204" pitchFamily="34" charset="0"/>
          </a:endParaRPr>
        </a:p>
      </xdr:txBody>
    </xdr:sp>
    <xdr:clientData/>
  </xdr:twoCellAnchor>
  <xdr:twoCellAnchor>
    <xdr:from>
      <xdr:col>8</xdr:col>
      <xdr:colOff>269768</xdr:colOff>
      <xdr:row>29</xdr:row>
      <xdr:rowOff>534088</xdr:rowOff>
    </xdr:from>
    <xdr:to>
      <xdr:col>9</xdr:col>
      <xdr:colOff>1228247</xdr:colOff>
      <xdr:row>29</xdr:row>
      <xdr:rowOff>988219</xdr:rowOff>
    </xdr:to>
    <xdr:sp macro="" textlink="">
      <xdr:nvSpPr>
        <xdr:cNvPr id="36" name="Rectángulo: esquinas redondeadas 35">
          <a:hlinkClick xmlns:r="http://schemas.openxmlformats.org/officeDocument/2006/relationships" r:id="rId9"/>
          <a:extLst>
            <a:ext uri="{FF2B5EF4-FFF2-40B4-BE49-F238E27FC236}">
              <a16:creationId xmlns:a16="http://schemas.microsoft.com/office/drawing/2014/main" id="{BA8BFF2B-F636-46D8-925E-19ACAAEA8192}"/>
            </a:ext>
          </a:extLst>
        </xdr:cNvPr>
        <xdr:cNvSpPr/>
      </xdr:nvSpPr>
      <xdr:spPr>
        <a:xfrm>
          <a:off x="14092924" y="17059963"/>
          <a:ext cx="2411042" cy="454131"/>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Ir</a:t>
          </a:r>
          <a:r>
            <a:rPr lang="es-MX" sz="1000" b="1" baseline="0">
              <a:solidFill>
                <a:schemeClr val="bg1"/>
              </a:solidFill>
              <a:latin typeface="Arial" panose="020B0604020202020204" pitchFamily="34" charset="0"/>
              <a:cs typeface="Arial" panose="020B0604020202020204" pitchFamily="34" charset="0"/>
            </a:rPr>
            <a:t> a contexto y normativa sobre auxilio de alimentación</a:t>
          </a:r>
          <a:endParaRPr lang="es-MX" sz="1000" b="1">
            <a:solidFill>
              <a:schemeClr val="bg1"/>
            </a:solidFill>
            <a:latin typeface="Arial" panose="020B0604020202020204" pitchFamily="34" charset="0"/>
            <a:cs typeface="Arial" panose="020B0604020202020204" pitchFamily="34" charset="0"/>
          </a:endParaRPr>
        </a:p>
      </xdr:txBody>
    </xdr:sp>
    <xdr:clientData/>
  </xdr:twoCellAnchor>
  <xdr:twoCellAnchor>
    <xdr:from>
      <xdr:col>8</xdr:col>
      <xdr:colOff>281676</xdr:colOff>
      <xdr:row>59</xdr:row>
      <xdr:rowOff>76199</xdr:rowOff>
    </xdr:from>
    <xdr:to>
      <xdr:col>9</xdr:col>
      <xdr:colOff>966629</xdr:colOff>
      <xdr:row>59</xdr:row>
      <xdr:rowOff>587162</xdr:rowOff>
    </xdr:to>
    <xdr:sp macro="" textlink="">
      <xdr:nvSpPr>
        <xdr:cNvPr id="37" name="Rectángulo: esquinas redondeadas 36">
          <a:hlinkClick xmlns:r="http://schemas.openxmlformats.org/officeDocument/2006/relationships" r:id="rId17"/>
          <a:extLst>
            <a:ext uri="{FF2B5EF4-FFF2-40B4-BE49-F238E27FC236}">
              <a16:creationId xmlns:a16="http://schemas.microsoft.com/office/drawing/2014/main" id="{0C3FAD93-12A6-4D38-937E-B764D61BCDB2}"/>
            </a:ext>
          </a:extLst>
        </xdr:cNvPr>
        <xdr:cNvSpPr/>
      </xdr:nvSpPr>
      <xdr:spPr>
        <a:xfrm>
          <a:off x="14104832" y="36580762"/>
          <a:ext cx="2137516" cy="510963"/>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Ir</a:t>
          </a:r>
          <a:r>
            <a:rPr lang="es-MX" sz="1000" b="1" baseline="0">
              <a:solidFill>
                <a:schemeClr val="bg1"/>
              </a:solidFill>
              <a:latin typeface="Arial" panose="020B0604020202020204" pitchFamily="34" charset="0"/>
              <a:cs typeface="Arial" panose="020B0604020202020204" pitchFamily="34" charset="0"/>
            </a:rPr>
            <a:t> a contexto y normativa sobre cesantías</a:t>
          </a:r>
          <a:endParaRPr lang="es-MX" sz="1000" b="1">
            <a:solidFill>
              <a:schemeClr val="bg1"/>
            </a:solidFill>
            <a:latin typeface="Arial" panose="020B0604020202020204" pitchFamily="34" charset="0"/>
            <a:cs typeface="Arial" panose="020B0604020202020204" pitchFamily="34" charset="0"/>
          </a:endParaRPr>
        </a:p>
      </xdr:txBody>
    </xdr:sp>
    <xdr:clientData/>
  </xdr:twoCellAnchor>
  <xdr:twoCellAnchor>
    <xdr:from>
      <xdr:col>8</xdr:col>
      <xdr:colOff>290513</xdr:colOff>
      <xdr:row>61</xdr:row>
      <xdr:rowOff>103082</xdr:rowOff>
    </xdr:from>
    <xdr:to>
      <xdr:col>9</xdr:col>
      <xdr:colOff>1005361</xdr:colOff>
      <xdr:row>61</xdr:row>
      <xdr:rowOff>629875</xdr:rowOff>
    </xdr:to>
    <xdr:sp macro="" textlink="">
      <xdr:nvSpPr>
        <xdr:cNvPr id="38" name="Rectángulo: esquinas redondeadas 37">
          <a:hlinkClick xmlns:r="http://schemas.openxmlformats.org/officeDocument/2006/relationships" r:id="rId16"/>
          <a:extLst>
            <a:ext uri="{FF2B5EF4-FFF2-40B4-BE49-F238E27FC236}">
              <a16:creationId xmlns:a16="http://schemas.microsoft.com/office/drawing/2014/main" id="{13575681-313A-4FF3-9439-886126B581DE}"/>
            </a:ext>
          </a:extLst>
        </xdr:cNvPr>
        <xdr:cNvSpPr/>
      </xdr:nvSpPr>
      <xdr:spPr>
        <a:xfrm>
          <a:off x="14113669" y="38203082"/>
          <a:ext cx="2167411" cy="526793"/>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Ir</a:t>
          </a:r>
          <a:r>
            <a:rPr lang="es-MX" sz="1000" b="1" baseline="0">
              <a:solidFill>
                <a:schemeClr val="bg1"/>
              </a:solidFill>
              <a:latin typeface="Arial" panose="020B0604020202020204" pitchFamily="34" charset="0"/>
              <a:cs typeface="Arial" panose="020B0604020202020204" pitchFamily="34" charset="0"/>
            </a:rPr>
            <a:t> a contexto y normativa sobre otras rentas exentas </a:t>
          </a:r>
          <a:endParaRPr lang="es-MX" sz="1000" b="1">
            <a:solidFill>
              <a:schemeClr val="bg1"/>
            </a:solidFill>
            <a:latin typeface="Arial" panose="020B0604020202020204" pitchFamily="34" charset="0"/>
            <a:cs typeface="Arial" panose="020B0604020202020204" pitchFamily="34" charset="0"/>
          </a:endParaRPr>
        </a:p>
      </xdr:txBody>
    </xdr:sp>
    <xdr:clientData/>
  </xdr:twoCellAnchor>
  <xdr:twoCellAnchor>
    <xdr:from>
      <xdr:col>8</xdr:col>
      <xdr:colOff>268923</xdr:colOff>
      <xdr:row>64</xdr:row>
      <xdr:rowOff>155468</xdr:rowOff>
    </xdr:from>
    <xdr:to>
      <xdr:col>9</xdr:col>
      <xdr:colOff>983771</xdr:colOff>
      <xdr:row>64</xdr:row>
      <xdr:rowOff>682261</xdr:rowOff>
    </xdr:to>
    <xdr:sp macro="" textlink="">
      <xdr:nvSpPr>
        <xdr:cNvPr id="39" name="Rectángulo: esquinas redondeadas 38">
          <a:hlinkClick xmlns:r="http://schemas.openxmlformats.org/officeDocument/2006/relationships" r:id="rId4"/>
          <a:extLst>
            <a:ext uri="{FF2B5EF4-FFF2-40B4-BE49-F238E27FC236}">
              <a16:creationId xmlns:a16="http://schemas.microsoft.com/office/drawing/2014/main" id="{D131B1AD-2BAA-40F1-94EA-36E5C23D9148}"/>
            </a:ext>
          </a:extLst>
        </xdr:cNvPr>
        <xdr:cNvSpPr/>
      </xdr:nvSpPr>
      <xdr:spPr>
        <a:xfrm>
          <a:off x="14092079" y="40862937"/>
          <a:ext cx="2167411" cy="526793"/>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Ir</a:t>
          </a:r>
          <a:r>
            <a:rPr lang="es-MX" sz="1000" b="1" baseline="0">
              <a:solidFill>
                <a:schemeClr val="bg1"/>
              </a:solidFill>
              <a:latin typeface="Arial" panose="020B0604020202020204" pitchFamily="34" charset="0"/>
              <a:cs typeface="Arial" panose="020B0604020202020204" pitchFamily="34" charset="0"/>
            </a:rPr>
            <a:t> a contexto y normativa sobre renta exenta del 25 %</a:t>
          </a:r>
          <a:endParaRPr lang="es-MX" sz="1000" b="1">
            <a:solidFill>
              <a:schemeClr val="bg1"/>
            </a:solidFill>
            <a:latin typeface="Arial" panose="020B0604020202020204" pitchFamily="34" charset="0"/>
            <a:cs typeface="Arial" panose="020B0604020202020204" pitchFamily="34" charset="0"/>
          </a:endParaRPr>
        </a:p>
      </xdr:txBody>
    </xdr:sp>
    <xdr:clientData/>
  </xdr:twoCellAnchor>
  <xdr:twoCellAnchor>
    <xdr:from>
      <xdr:col>8</xdr:col>
      <xdr:colOff>270087</xdr:colOff>
      <xdr:row>66</xdr:row>
      <xdr:rowOff>155470</xdr:rowOff>
    </xdr:from>
    <xdr:to>
      <xdr:col>9</xdr:col>
      <xdr:colOff>986840</xdr:colOff>
      <xdr:row>66</xdr:row>
      <xdr:rowOff>682263</xdr:rowOff>
    </xdr:to>
    <xdr:sp macro="" textlink="">
      <xdr:nvSpPr>
        <xdr:cNvPr id="40" name="Rectángulo: esquinas redondeadas 39">
          <a:hlinkClick xmlns:r="http://schemas.openxmlformats.org/officeDocument/2006/relationships" r:id="rId18"/>
          <a:extLst>
            <a:ext uri="{FF2B5EF4-FFF2-40B4-BE49-F238E27FC236}">
              <a16:creationId xmlns:a16="http://schemas.microsoft.com/office/drawing/2014/main" id="{497DE4EC-EF20-44B0-AE72-B9426D675606}"/>
            </a:ext>
          </a:extLst>
        </xdr:cNvPr>
        <xdr:cNvSpPr/>
      </xdr:nvSpPr>
      <xdr:spPr>
        <a:xfrm>
          <a:off x="14093243" y="42601251"/>
          <a:ext cx="2169316" cy="526793"/>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Ir</a:t>
          </a:r>
          <a:r>
            <a:rPr lang="es-MX" sz="1000" b="1" baseline="0">
              <a:solidFill>
                <a:schemeClr val="bg1"/>
              </a:solidFill>
              <a:latin typeface="Arial" panose="020B0604020202020204" pitchFamily="34" charset="0"/>
              <a:cs typeface="Arial" panose="020B0604020202020204" pitchFamily="34" charset="0"/>
            </a:rPr>
            <a:t> a contexto y normativa sobre renta exenta países CAN</a:t>
          </a:r>
          <a:endParaRPr lang="es-MX" sz="1000" b="1">
            <a:solidFill>
              <a:schemeClr val="bg1"/>
            </a:solidFill>
            <a:latin typeface="Arial" panose="020B0604020202020204" pitchFamily="34" charset="0"/>
            <a:cs typeface="Arial" panose="020B0604020202020204" pitchFamily="34" charset="0"/>
          </a:endParaRPr>
        </a:p>
      </xdr:txBody>
    </xdr:sp>
    <xdr:clientData/>
  </xdr:twoCellAnchor>
  <xdr:twoCellAnchor>
    <xdr:from>
      <xdr:col>4</xdr:col>
      <xdr:colOff>118533</xdr:colOff>
      <xdr:row>6</xdr:row>
      <xdr:rowOff>135467</xdr:rowOff>
    </xdr:from>
    <xdr:to>
      <xdr:col>5</xdr:col>
      <xdr:colOff>694267</xdr:colOff>
      <xdr:row>9</xdr:row>
      <xdr:rowOff>59266</xdr:rowOff>
    </xdr:to>
    <xdr:sp macro="" textlink="">
      <xdr:nvSpPr>
        <xdr:cNvPr id="2" name="Rectángulo: esquinas redondeadas 1">
          <a:hlinkClick xmlns:r="http://schemas.openxmlformats.org/officeDocument/2006/relationships" r:id="rId19"/>
          <a:extLst>
            <a:ext uri="{FF2B5EF4-FFF2-40B4-BE49-F238E27FC236}">
              <a16:creationId xmlns:a16="http://schemas.microsoft.com/office/drawing/2014/main" id="{9A443ADC-7005-4C1D-8862-7B7966A75661}"/>
            </a:ext>
          </a:extLst>
        </xdr:cNvPr>
        <xdr:cNvSpPr/>
      </xdr:nvSpPr>
      <xdr:spPr>
        <a:xfrm>
          <a:off x="5664200" y="3522134"/>
          <a:ext cx="2006600" cy="380999"/>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Ir</a:t>
          </a:r>
          <a:r>
            <a:rPr lang="es-MX" sz="1000" b="1" baseline="0">
              <a:solidFill>
                <a:schemeClr val="bg1"/>
              </a:solidFill>
              <a:latin typeface="Arial" panose="020B0604020202020204" pitchFamily="34" charset="0"/>
              <a:cs typeface="Arial" panose="020B0604020202020204" pitchFamily="34" charset="0"/>
            </a:rPr>
            <a:t> a introducción y alcance</a:t>
          </a:r>
          <a:endParaRPr lang="es-MX" sz="1000" b="1">
            <a:solidFill>
              <a:schemeClr val="bg1"/>
            </a:solidFill>
            <a:latin typeface="Arial" panose="020B0604020202020204" pitchFamily="34" charset="0"/>
            <a:cs typeface="Arial" panose="020B0604020202020204" pitchFamily="34" charset="0"/>
          </a:endParaRPr>
        </a:p>
      </xdr:txBody>
    </xdr:sp>
    <xdr:clientData/>
  </xdr:twoCellAnchor>
  <xdr:twoCellAnchor>
    <xdr:from>
      <xdr:col>8</xdr:col>
      <xdr:colOff>273844</xdr:colOff>
      <xdr:row>72</xdr:row>
      <xdr:rowOff>34290</xdr:rowOff>
    </xdr:from>
    <xdr:to>
      <xdr:col>9</xdr:col>
      <xdr:colOff>976310</xdr:colOff>
      <xdr:row>72</xdr:row>
      <xdr:rowOff>714852</xdr:rowOff>
    </xdr:to>
    <xdr:sp macro="" textlink="">
      <xdr:nvSpPr>
        <xdr:cNvPr id="3" name="Rectángulo: esquinas redondeadas 2">
          <a:hlinkClick xmlns:r="http://schemas.openxmlformats.org/officeDocument/2006/relationships" r:id="rId5"/>
          <a:extLst>
            <a:ext uri="{FF2B5EF4-FFF2-40B4-BE49-F238E27FC236}">
              <a16:creationId xmlns:a16="http://schemas.microsoft.com/office/drawing/2014/main" id="{57A0E725-3922-49E7-AB6D-CBED583A2164}"/>
            </a:ext>
          </a:extLst>
        </xdr:cNvPr>
        <xdr:cNvSpPr/>
      </xdr:nvSpPr>
      <xdr:spPr>
        <a:xfrm>
          <a:off x="14097000" y="46456759"/>
          <a:ext cx="2155029" cy="680562"/>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Ir</a:t>
          </a:r>
          <a:r>
            <a:rPr lang="es-MX" sz="1000" b="1" baseline="0">
              <a:solidFill>
                <a:schemeClr val="bg1"/>
              </a:solidFill>
              <a:latin typeface="Arial" panose="020B0604020202020204" pitchFamily="34" charset="0"/>
              <a:cs typeface="Arial" panose="020B0604020202020204" pitchFamily="34" charset="0"/>
            </a:rPr>
            <a:t> a contexto y normativa sobre límite a rentas exentas y deducciones</a:t>
          </a:r>
          <a:endParaRPr lang="es-MX" sz="1000" b="1">
            <a:solidFill>
              <a:schemeClr val="bg1"/>
            </a:solidFill>
            <a:latin typeface="Arial" panose="020B0604020202020204" pitchFamily="34" charset="0"/>
            <a:cs typeface="Arial" panose="020B0604020202020204" pitchFamily="34" charset="0"/>
          </a:endParaRPr>
        </a:p>
      </xdr:txBody>
    </xdr:sp>
    <xdr:clientData/>
  </xdr:twoCellAnchor>
  <xdr:twoCellAnchor>
    <xdr:from>
      <xdr:col>8</xdr:col>
      <xdr:colOff>250031</xdr:colOff>
      <xdr:row>78</xdr:row>
      <xdr:rowOff>590550</xdr:rowOff>
    </xdr:from>
    <xdr:to>
      <xdr:col>9</xdr:col>
      <xdr:colOff>952497</xdr:colOff>
      <xdr:row>79</xdr:row>
      <xdr:rowOff>279560</xdr:rowOff>
    </xdr:to>
    <xdr:sp macro="" textlink="">
      <xdr:nvSpPr>
        <xdr:cNvPr id="5" name="Rectángulo: esquinas redondeadas 4">
          <a:hlinkClick xmlns:r="http://schemas.openxmlformats.org/officeDocument/2006/relationships" r:id="rId20"/>
          <a:extLst>
            <a:ext uri="{FF2B5EF4-FFF2-40B4-BE49-F238E27FC236}">
              <a16:creationId xmlns:a16="http://schemas.microsoft.com/office/drawing/2014/main" id="{3A88F928-BE71-4A34-BD9A-60F2413CFEB9}"/>
            </a:ext>
          </a:extLst>
        </xdr:cNvPr>
        <xdr:cNvSpPr/>
      </xdr:nvSpPr>
      <xdr:spPr>
        <a:xfrm>
          <a:off x="13846969" y="51001613"/>
          <a:ext cx="2155028" cy="772478"/>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Ir</a:t>
          </a:r>
          <a:r>
            <a:rPr lang="es-MX" sz="1000" b="1" baseline="0">
              <a:solidFill>
                <a:schemeClr val="bg1"/>
              </a:solidFill>
              <a:latin typeface="Arial" panose="020B0604020202020204" pitchFamily="34" charset="0"/>
              <a:cs typeface="Arial" panose="020B0604020202020204" pitchFamily="34" charset="0"/>
            </a:rPr>
            <a:t> a contexto y normativa sobre deducción por compras </a:t>
          </a:r>
          <a:endParaRPr lang="es-MX" sz="1000" b="1">
            <a:solidFill>
              <a:schemeClr val="bg1"/>
            </a:solidFill>
            <a:latin typeface="Arial" panose="020B0604020202020204" pitchFamily="34" charset="0"/>
            <a:cs typeface="Arial" panose="020B0604020202020204" pitchFamily="34" charset="0"/>
          </a:endParaRPr>
        </a:p>
      </xdr:txBody>
    </xdr:sp>
    <xdr:clientData/>
  </xdr:twoCellAnchor>
  <xdr:twoCellAnchor>
    <xdr:from>
      <xdr:col>8</xdr:col>
      <xdr:colOff>310038</xdr:colOff>
      <xdr:row>83</xdr:row>
      <xdr:rowOff>237648</xdr:rowOff>
    </xdr:from>
    <xdr:to>
      <xdr:col>9</xdr:col>
      <xdr:colOff>1008693</xdr:colOff>
      <xdr:row>83</xdr:row>
      <xdr:rowOff>910113</xdr:rowOff>
    </xdr:to>
    <xdr:sp macro="" textlink="">
      <xdr:nvSpPr>
        <xdr:cNvPr id="9" name="Rectángulo: esquinas redondeadas 8">
          <a:hlinkClick xmlns:r="http://schemas.openxmlformats.org/officeDocument/2006/relationships" r:id="rId21"/>
          <a:extLst>
            <a:ext uri="{FF2B5EF4-FFF2-40B4-BE49-F238E27FC236}">
              <a16:creationId xmlns:a16="http://schemas.microsoft.com/office/drawing/2014/main" id="{855525A3-0725-423D-80B7-BC0721A4802B}"/>
            </a:ext>
          </a:extLst>
        </xdr:cNvPr>
        <xdr:cNvSpPr/>
      </xdr:nvSpPr>
      <xdr:spPr>
        <a:xfrm>
          <a:off x="14133194" y="54303929"/>
          <a:ext cx="2151218" cy="672465"/>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Ir</a:t>
          </a:r>
          <a:r>
            <a:rPr lang="es-MX" sz="1000" b="1" baseline="0">
              <a:solidFill>
                <a:schemeClr val="bg1"/>
              </a:solidFill>
              <a:latin typeface="Arial" panose="020B0604020202020204" pitchFamily="34" charset="0"/>
              <a:cs typeface="Arial" panose="020B0604020202020204" pitchFamily="34" charset="0"/>
            </a:rPr>
            <a:t> a contexto y normativa sobre deducción por intereses de vivienda </a:t>
          </a:r>
          <a:endParaRPr lang="es-MX" sz="1000" b="1">
            <a:solidFill>
              <a:schemeClr val="bg1"/>
            </a:solidFill>
            <a:latin typeface="Arial" panose="020B0604020202020204" pitchFamily="34" charset="0"/>
            <a:cs typeface="Arial" panose="020B0604020202020204" pitchFamily="34" charset="0"/>
          </a:endParaRPr>
        </a:p>
      </xdr:txBody>
    </xdr:sp>
    <xdr:clientData/>
  </xdr:twoCellAnchor>
  <xdr:twoCellAnchor>
    <xdr:from>
      <xdr:col>8</xdr:col>
      <xdr:colOff>298609</xdr:colOff>
      <xdr:row>87</xdr:row>
      <xdr:rowOff>1339692</xdr:rowOff>
    </xdr:from>
    <xdr:to>
      <xdr:col>9</xdr:col>
      <xdr:colOff>1214437</xdr:colOff>
      <xdr:row>88</xdr:row>
      <xdr:rowOff>37624</xdr:rowOff>
    </xdr:to>
    <xdr:sp macro="" textlink="">
      <xdr:nvSpPr>
        <xdr:cNvPr id="11" name="Rectángulo: esquinas redondeadas 10">
          <a:hlinkClick xmlns:r="http://schemas.openxmlformats.org/officeDocument/2006/relationships" r:id="rId22"/>
          <a:extLst>
            <a:ext uri="{FF2B5EF4-FFF2-40B4-BE49-F238E27FC236}">
              <a16:creationId xmlns:a16="http://schemas.microsoft.com/office/drawing/2014/main" id="{2309C16B-9F6C-4888-A662-9D6510C4378B}"/>
            </a:ext>
          </a:extLst>
        </xdr:cNvPr>
        <xdr:cNvSpPr/>
      </xdr:nvSpPr>
      <xdr:spPr>
        <a:xfrm>
          <a:off x="14121765" y="58549223"/>
          <a:ext cx="2368391" cy="626745"/>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Ir</a:t>
          </a:r>
          <a:r>
            <a:rPr lang="es-MX" sz="1000" b="1" baseline="0">
              <a:solidFill>
                <a:schemeClr val="bg1"/>
              </a:solidFill>
              <a:latin typeface="Arial" panose="020B0604020202020204" pitchFamily="34" charset="0"/>
              <a:cs typeface="Arial" panose="020B0604020202020204" pitchFamily="34" charset="0"/>
            </a:rPr>
            <a:t> a contexto y normativa sobre deducción por dependientes económicos</a:t>
          </a:r>
          <a:endParaRPr lang="es-MX" sz="1000" b="1">
            <a:solidFill>
              <a:schemeClr val="bg1"/>
            </a:solidFill>
            <a:latin typeface="Arial" panose="020B0604020202020204" pitchFamily="34" charset="0"/>
            <a:cs typeface="Arial" panose="020B0604020202020204" pitchFamily="34" charset="0"/>
          </a:endParaRPr>
        </a:p>
      </xdr:txBody>
    </xdr:sp>
    <xdr:clientData/>
  </xdr:twoCellAnchor>
  <xdr:twoCellAnchor>
    <xdr:from>
      <xdr:col>8</xdr:col>
      <xdr:colOff>320040</xdr:colOff>
      <xdr:row>65</xdr:row>
      <xdr:rowOff>152400</xdr:rowOff>
    </xdr:from>
    <xdr:to>
      <xdr:col>9</xdr:col>
      <xdr:colOff>1036793</xdr:colOff>
      <xdr:row>65</xdr:row>
      <xdr:rowOff>679193</xdr:rowOff>
    </xdr:to>
    <xdr:sp macro="" textlink="">
      <xdr:nvSpPr>
        <xdr:cNvPr id="12" name="Rectángulo: esquinas redondeadas 11">
          <a:hlinkClick xmlns:r="http://schemas.openxmlformats.org/officeDocument/2006/relationships" r:id="rId23"/>
          <a:extLst>
            <a:ext uri="{FF2B5EF4-FFF2-40B4-BE49-F238E27FC236}">
              <a16:creationId xmlns:a16="http://schemas.microsoft.com/office/drawing/2014/main" id="{7BB490C9-D0E0-4C29-88B8-7EC2B0BA9571}"/>
            </a:ext>
          </a:extLst>
        </xdr:cNvPr>
        <xdr:cNvSpPr/>
      </xdr:nvSpPr>
      <xdr:spPr>
        <a:xfrm>
          <a:off x="14348460" y="41788080"/>
          <a:ext cx="2172173" cy="526793"/>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Ir</a:t>
          </a:r>
          <a:r>
            <a:rPr lang="es-MX" sz="1000" b="1" baseline="0">
              <a:solidFill>
                <a:schemeClr val="bg1"/>
              </a:solidFill>
              <a:latin typeface="Arial" panose="020B0604020202020204" pitchFamily="34" charset="0"/>
              <a:cs typeface="Arial" panose="020B0604020202020204" pitchFamily="34" charset="0"/>
            </a:rPr>
            <a:t> a contexto y normativa sobre prima especial </a:t>
          </a:r>
          <a:endParaRPr lang="es-MX" sz="1000" b="1">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158010</xdr:colOff>
      <xdr:row>0</xdr:row>
      <xdr:rowOff>142875</xdr:rowOff>
    </xdr:from>
    <xdr:to>
      <xdr:col>1</xdr:col>
      <xdr:colOff>818304</xdr:colOff>
      <xdr:row>2</xdr:row>
      <xdr:rowOff>56027</xdr:rowOff>
    </xdr:to>
    <xdr:pic>
      <xdr:nvPicPr>
        <xdr:cNvPr id="18" name="Imagen 17">
          <a:extLst>
            <a:ext uri="{FF2B5EF4-FFF2-40B4-BE49-F238E27FC236}">
              <a16:creationId xmlns:a16="http://schemas.microsoft.com/office/drawing/2014/main" id="{9DC956B8-3A8A-E5A9-CD37-6D9DF3B9D7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0" y="142875"/>
          <a:ext cx="1799008" cy="313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973667</xdr:colOff>
      <xdr:row>93</xdr:row>
      <xdr:rowOff>31750</xdr:rowOff>
    </xdr:from>
    <xdr:to>
      <xdr:col>5</xdr:col>
      <xdr:colOff>479214</xdr:colOff>
      <xdr:row>94</xdr:row>
      <xdr:rowOff>153604</xdr:rowOff>
    </xdr:to>
    <xdr:pic>
      <xdr:nvPicPr>
        <xdr:cNvPr id="19" name="Imagen 18">
          <a:extLst>
            <a:ext uri="{FF2B5EF4-FFF2-40B4-BE49-F238E27FC236}">
              <a16:creationId xmlns:a16="http://schemas.microsoft.com/office/drawing/2014/main" id="{F37714BA-C032-4CF2-95EE-DB2245ADF6F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56667" y="34565167"/>
          <a:ext cx="1793452" cy="3123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245269</xdr:colOff>
      <xdr:row>8</xdr:row>
      <xdr:rowOff>976312</xdr:rowOff>
    </xdr:from>
    <xdr:to>
      <xdr:col>11</xdr:col>
      <xdr:colOff>302419</xdr:colOff>
      <xdr:row>8</xdr:row>
      <xdr:rowOff>1328737</xdr:rowOff>
    </xdr:to>
    <xdr:sp macro="" textlink="">
      <xdr:nvSpPr>
        <xdr:cNvPr id="8" name="Rectángulo: esquinas redondeadas 7">
          <a:hlinkClick xmlns:r="http://schemas.openxmlformats.org/officeDocument/2006/relationships" r:id="rId3"/>
          <a:extLst>
            <a:ext uri="{FF2B5EF4-FFF2-40B4-BE49-F238E27FC236}">
              <a16:creationId xmlns:a16="http://schemas.microsoft.com/office/drawing/2014/main" id="{F36F3161-0295-4566-B145-8CA8EDEF5ED6}"/>
            </a:ext>
          </a:extLst>
        </xdr:cNvPr>
        <xdr:cNvSpPr/>
      </xdr:nvSpPr>
      <xdr:spPr>
        <a:xfrm>
          <a:off x="10948988" y="3679031"/>
          <a:ext cx="1628775" cy="352425"/>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Volver a la herramienta</a:t>
          </a:r>
        </a:p>
      </xdr:txBody>
    </xdr:sp>
    <xdr:clientData/>
  </xdr:twoCellAnchor>
  <xdr:twoCellAnchor>
    <xdr:from>
      <xdr:col>10</xdr:col>
      <xdr:colOff>236220</xdr:colOff>
      <xdr:row>17</xdr:row>
      <xdr:rowOff>7620</xdr:rowOff>
    </xdr:from>
    <xdr:to>
      <xdr:col>11</xdr:col>
      <xdr:colOff>289560</xdr:colOff>
      <xdr:row>17</xdr:row>
      <xdr:rowOff>358140</xdr:rowOff>
    </xdr:to>
    <xdr:sp macro="" textlink="">
      <xdr:nvSpPr>
        <xdr:cNvPr id="9" name="Rectángulo: esquinas redondeadas 8">
          <a:hlinkClick xmlns:r="http://schemas.openxmlformats.org/officeDocument/2006/relationships" r:id="rId4"/>
          <a:extLst>
            <a:ext uri="{FF2B5EF4-FFF2-40B4-BE49-F238E27FC236}">
              <a16:creationId xmlns:a16="http://schemas.microsoft.com/office/drawing/2014/main" id="{11EA6F43-C351-4E2E-A774-289E4A0F4338}"/>
            </a:ext>
          </a:extLst>
        </xdr:cNvPr>
        <xdr:cNvSpPr/>
      </xdr:nvSpPr>
      <xdr:spPr>
        <a:xfrm>
          <a:off x="10698480" y="8557260"/>
          <a:ext cx="1623060" cy="350520"/>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Volver a la herramienta</a:t>
          </a:r>
        </a:p>
      </xdr:txBody>
    </xdr:sp>
    <xdr:clientData/>
  </xdr:twoCellAnchor>
  <xdr:twoCellAnchor>
    <xdr:from>
      <xdr:col>10</xdr:col>
      <xdr:colOff>228600</xdr:colOff>
      <xdr:row>21</xdr:row>
      <xdr:rowOff>541020</xdr:rowOff>
    </xdr:from>
    <xdr:to>
      <xdr:col>11</xdr:col>
      <xdr:colOff>281940</xdr:colOff>
      <xdr:row>21</xdr:row>
      <xdr:rowOff>891540</xdr:rowOff>
    </xdr:to>
    <xdr:sp macro="" textlink="">
      <xdr:nvSpPr>
        <xdr:cNvPr id="10" name="Rectángulo: esquinas redondeadas 9">
          <a:hlinkClick xmlns:r="http://schemas.openxmlformats.org/officeDocument/2006/relationships" r:id="rId5"/>
          <a:extLst>
            <a:ext uri="{FF2B5EF4-FFF2-40B4-BE49-F238E27FC236}">
              <a16:creationId xmlns:a16="http://schemas.microsoft.com/office/drawing/2014/main" id="{6A7638BB-D571-4928-9064-48D131337857}"/>
            </a:ext>
          </a:extLst>
        </xdr:cNvPr>
        <xdr:cNvSpPr/>
      </xdr:nvSpPr>
      <xdr:spPr>
        <a:xfrm>
          <a:off x="10690860" y="11727180"/>
          <a:ext cx="1623060" cy="350520"/>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Volver a la herramienta</a:t>
          </a:r>
        </a:p>
      </xdr:txBody>
    </xdr:sp>
    <xdr:clientData/>
  </xdr:twoCellAnchor>
  <xdr:twoCellAnchor>
    <xdr:from>
      <xdr:col>10</xdr:col>
      <xdr:colOff>243840</xdr:colOff>
      <xdr:row>24</xdr:row>
      <xdr:rowOff>396240</xdr:rowOff>
    </xdr:from>
    <xdr:to>
      <xdr:col>11</xdr:col>
      <xdr:colOff>304800</xdr:colOff>
      <xdr:row>24</xdr:row>
      <xdr:rowOff>744855</xdr:rowOff>
    </xdr:to>
    <xdr:sp macro="" textlink="">
      <xdr:nvSpPr>
        <xdr:cNvPr id="11" name="Rectángulo: esquinas redondeadas 10">
          <a:hlinkClick xmlns:r="http://schemas.openxmlformats.org/officeDocument/2006/relationships" r:id="rId6"/>
          <a:extLst>
            <a:ext uri="{FF2B5EF4-FFF2-40B4-BE49-F238E27FC236}">
              <a16:creationId xmlns:a16="http://schemas.microsoft.com/office/drawing/2014/main" id="{85B4257D-A903-4F2A-89E8-CB7C57235DE5}"/>
            </a:ext>
          </a:extLst>
        </xdr:cNvPr>
        <xdr:cNvSpPr/>
      </xdr:nvSpPr>
      <xdr:spPr>
        <a:xfrm>
          <a:off x="10940415" y="13997940"/>
          <a:ext cx="1632585" cy="348615"/>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Volver a la herramienta</a:t>
          </a:r>
        </a:p>
      </xdr:txBody>
    </xdr:sp>
    <xdr:clientData/>
  </xdr:twoCellAnchor>
  <xdr:twoCellAnchor>
    <xdr:from>
      <xdr:col>10</xdr:col>
      <xdr:colOff>236220</xdr:colOff>
      <xdr:row>27</xdr:row>
      <xdr:rowOff>843915</xdr:rowOff>
    </xdr:from>
    <xdr:to>
      <xdr:col>11</xdr:col>
      <xdr:colOff>300990</xdr:colOff>
      <xdr:row>27</xdr:row>
      <xdr:rowOff>1188720</xdr:rowOff>
    </xdr:to>
    <xdr:sp macro="" textlink="">
      <xdr:nvSpPr>
        <xdr:cNvPr id="12" name="Rectángulo: esquinas redondeadas 11">
          <a:hlinkClick xmlns:r="http://schemas.openxmlformats.org/officeDocument/2006/relationships" r:id="rId7"/>
          <a:extLst>
            <a:ext uri="{FF2B5EF4-FFF2-40B4-BE49-F238E27FC236}">
              <a16:creationId xmlns:a16="http://schemas.microsoft.com/office/drawing/2014/main" id="{FE30C395-9471-4434-939A-5573BE6BED8C}"/>
            </a:ext>
          </a:extLst>
        </xdr:cNvPr>
        <xdr:cNvSpPr/>
      </xdr:nvSpPr>
      <xdr:spPr>
        <a:xfrm>
          <a:off x="10932795" y="16283940"/>
          <a:ext cx="1636395" cy="344805"/>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Volver a la herramienta</a:t>
          </a:r>
        </a:p>
      </xdr:txBody>
    </xdr:sp>
    <xdr:clientData/>
  </xdr:twoCellAnchor>
  <xdr:twoCellAnchor>
    <xdr:from>
      <xdr:col>10</xdr:col>
      <xdr:colOff>230505</xdr:colOff>
      <xdr:row>32</xdr:row>
      <xdr:rowOff>636270</xdr:rowOff>
    </xdr:from>
    <xdr:to>
      <xdr:col>11</xdr:col>
      <xdr:colOff>285750</xdr:colOff>
      <xdr:row>32</xdr:row>
      <xdr:rowOff>981075</xdr:rowOff>
    </xdr:to>
    <xdr:sp macro="" textlink="">
      <xdr:nvSpPr>
        <xdr:cNvPr id="15" name="Rectángulo: esquinas redondeadas 14">
          <a:hlinkClick xmlns:r="http://schemas.openxmlformats.org/officeDocument/2006/relationships" r:id="rId8"/>
          <a:extLst>
            <a:ext uri="{FF2B5EF4-FFF2-40B4-BE49-F238E27FC236}">
              <a16:creationId xmlns:a16="http://schemas.microsoft.com/office/drawing/2014/main" id="{A8737D97-7A98-4DDD-BFCA-17E097A29F83}"/>
            </a:ext>
          </a:extLst>
        </xdr:cNvPr>
        <xdr:cNvSpPr/>
      </xdr:nvSpPr>
      <xdr:spPr>
        <a:xfrm>
          <a:off x="10927080" y="18886170"/>
          <a:ext cx="1626870" cy="344805"/>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Volver a la herramienta</a:t>
          </a:r>
        </a:p>
      </xdr:txBody>
    </xdr:sp>
    <xdr:clientData/>
  </xdr:twoCellAnchor>
  <xdr:twoCellAnchor>
    <xdr:from>
      <xdr:col>10</xdr:col>
      <xdr:colOff>190500</xdr:colOff>
      <xdr:row>62</xdr:row>
      <xdr:rowOff>447675</xdr:rowOff>
    </xdr:from>
    <xdr:to>
      <xdr:col>11</xdr:col>
      <xdr:colOff>249555</xdr:colOff>
      <xdr:row>62</xdr:row>
      <xdr:rowOff>796290</xdr:rowOff>
    </xdr:to>
    <xdr:sp macro="" textlink="">
      <xdr:nvSpPr>
        <xdr:cNvPr id="16" name="Rectángulo: esquinas redondeadas 15">
          <a:hlinkClick xmlns:r="http://schemas.openxmlformats.org/officeDocument/2006/relationships" r:id="rId9"/>
          <a:extLst>
            <a:ext uri="{FF2B5EF4-FFF2-40B4-BE49-F238E27FC236}">
              <a16:creationId xmlns:a16="http://schemas.microsoft.com/office/drawing/2014/main" id="{730B4101-E721-4A4A-BDAC-A4F15ED1DF6B}"/>
            </a:ext>
          </a:extLst>
        </xdr:cNvPr>
        <xdr:cNvSpPr/>
      </xdr:nvSpPr>
      <xdr:spPr>
        <a:xfrm>
          <a:off x="10887075" y="36385500"/>
          <a:ext cx="1630680" cy="348615"/>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Volver a la herramienta</a:t>
          </a:r>
        </a:p>
      </xdr:txBody>
    </xdr:sp>
    <xdr:clientData/>
  </xdr:twoCellAnchor>
  <xdr:twoCellAnchor>
    <xdr:from>
      <xdr:col>10</xdr:col>
      <xdr:colOff>215265</xdr:colOff>
      <xdr:row>35</xdr:row>
      <xdr:rowOff>314325</xdr:rowOff>
    </xdr:from>
    <xdr:to>
      <xdr:col>11</xdr:col>
      <xdr:colOff>259080</xdr:colOff>
      <xdr:row>35</xdr:row>
      <xdr:rowOff>659130</xdr:rowOff>
    </xdr:to>
    <xdr:sp macro="" textlink="">
      <xdr:nvSpPr>
        <xdr:cNvPr id="17" name="Rectángulo: esquinas redondeadas 16">
          <a:hlinkClick xmlns:r="http://schemas.openxmlformats.org/officeDocument/2006/relationships" r:id="rId10"/>
          <a:extLst>
            <a:ext uri="{FF2B5EF4-FFF2-40B4-BE49-F238E27FC236}">
              <a16:creationId xmlns:a16="http://schemas.microsoft.com/office/drawing/2014/main" id="{31FBCD1E-9436-4CC5-8354-C031833B6E84}"/>
            </a:ext>
          </a:extLst>
        </xdr:cNvPr>
        <xdr:cNvSpPr/>
      </xdr:nvSpPr>
      <xdr:spPr>
        <a:xfrm>
          <a:off x="10911840" y="21193125"/>
          <a:ext cx="1615440" cy="344805"/>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Volver a la herramienta</a:t>
          </a:r>
        </a:p>
      </xdr:txBody>
    </xdr:sp>
    <xdr:clientData/>
  </xdr:twoCellAnchor>
  <xdr:twoCellAnchor>
    <xdr:from>
      <xdr:col>10</xdr:col>
      <xdr:colOff>211455</xdr:colOff>
      <xdr:row>38</xdr:row>
      <xdr:rowOff>548640</xdr:rowOff>
    </xdr:from>
    <xdr:to>
      <xdr:col>11</xdr:col>
      <xdr:colOff>266700</xdr:colOff>
      <xdr:row>38</xdr:row>
      <xdr:rowOff>893445</xdr:rowOff>
    </xdr:to>
    <xdr:sp macro="" textlink="">
      <xdr:nvSpPr>
        <xdr:cNvPr id="21" name="Rectángulo: esquinas redondeadas 20">
          <a:hlinkClick xmlns:r="http://schemas.openxmlformats.org/officeDocument/2006/relationships" r:id="rId11"/>
          <a:extLst>
            <a:ext uri="{FF2B5EF4-FFF2-40B4-BE49-F238E27FC236}">
              <a16:creationId xmlns:a16="http://schemas.microsoft.com/office/drawing/2014/main" id="{50154E62-192E-41A3-A443-99282FBE3534}"/>
            </a:ext>
          </a:extLst>
        </xdr:cNvPr>
        <xdr:cNvSpPr/>
      </xdr:nvSpPr>
      <xdr:spPr>
        <a:xfrm>
          <a:off x="10908030" y="22837140"/>
          <a:ext cx="1626870" cy="344805"/>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Volver a la herramienta</a:t>
          </a:r>
        </a:p>
      </xdr:txBody>
    </xdr:sp>
    <xdr:clientData/>
  </xdr:twoCellAnchor>
  <xdr:twoCellAnchor>
    <xdr:from>
      <xdr:col>10</xdr:col>
      <xdr:colOff>217170</xdr:colOff>
      <xdr:row>41</xdr:row>
      <xdr:rowOff>123825</xdr:rowOff>
    </xdr:from>
    <xdr:to>
      <xdr:col>11</xdr:col>
      <xdr:colOff>281940</xdr:colOff>
      <xdr:row>41</xdr:row>
      <xdr:rowOff>468630</xdr:rowOff>
    </xdr:to>
    <xdr:sp macro="" textlink="">
      <xdr:nvSpPr>
        <xdr:cNvPr id="22" name="Rectángulo: esquinas redondeadas 21">
          <a:hlinkClick xmlns:r="http://schemas.openxmlformats.org/officeDocument/2006/relationships" r:id="rId12"/>
          <a:extLst>
            <a:ext uri="{FF2B5EF4-FFF2-40B4-BE49-F238E27FC236}">
              <a16:creationId xmlns:a16="http://schemas.microsoft.com/office/drawing/2014/main" id="{44429623-F37B-4E88-BE78-0206A20455A8}"/>
            </a:ext>
          </a:extLst>
        </xdr:cNvPr>
        <xdr:cNvSpPr/>
      </xdr:nvSpPr>
      <xdr:spPr>
        <a:xfrm>
          <a:off x="10913745" y="24183975"/>
          <a:ext cx="1636395" cy="344805"/>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Volver a la herramienta</a:t>
          </a:r>
        </a:p>
      </xdr:txBody>
    </xdr:sp>
    <xdr:clientData/>
  </xdr:twoCellAnchor>
  <xdr:twoCellAnchor>
    <xdr:from>
      <xdr:col>10</xdr:col>
      <xdr:colOff>205740</xdr:colOff>
      <xdr:row>46</xdr:row>
      <xdr:rowOff>506730</xdr:rowOff>
    </xdr:from>
    <xdr:to>
      <xdr:col>11</xdr:col>
      <xdr:colOff>274320</xdr:colOff>
      <xdr:row>46</xdr:row>
      <xdr:rowOff>855345</xdr:rowOff>
    </xdr:to>
    <xdr:sp macro="" textlink="">
      <xdr:nvSpPr>
        <xdr:cNvPr id="24" name="Rectángulo: esquinas redondeadas 23">
          <a:hlinkClick xmlns:r="http://schemas.openxmlformats.org/officeDocument/2006/relationships" r:id="rId13"/>
          <a:extLst>
            <a:ext uri="{FF2B5EF4-FFF2-40B4-BE49-F238E27FC236}">
              <a16:creationId xmlns:a16="http://schemas.microsoft.com/office/drawing/2014/main" id="{A4341C66-B2EE-4175-805F-49FFE43BBBD4}"/>
            </a:ext>
          </a:extLst>
        </xdr:cNvPr>
        <xdr:cNvSpPr/>
      </xdr:nvSpPr>
      <xdr:spPr>
        <a:xfrm>
          <a:off x="10902315" y="26033730"/>
          <a:ext cx="1640205" cy="348615"/>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Volver a la herramienta</a:t>
          </a:r>
        </a:p>
      </xdr:txBody>
    </xdr:sp>
    <xdr:clientData/>
  </xdr:twoCellAnchor>
  <xdr:twoCellAnchor>
    <xdr:from>
      <xdr:col>10</xdr:col>
      <xdr:colOff>219075</xdr:colOff>
      <xdr:row>49</xdr:row>
      <xdr:rowOff>466725</xdr:rowOff>
    </xdr:from>
    <xdr:to>
      <xdr:col>11</xdr:col>
      <xdr:colOff>283845</xdr:colOff>
      <xdr:row>49</xdr:row>
      <xdr:rowOff>817245</xdr:rowOff>
    </xdr:to>
    <xdr:sp macro="" textlink="">
      <xdr:nvSpPr>
        <xdr:cNvPr id="30" name="Rectángulo: esquinas redondeadas 29">
          <a:hlinkClick xmlns:r="http://schemas.openxmlformats.org/officeDocument/2006/relationships" r:id="rId13"/>
          <a:extLst>
            <a:ext uri="{FF2B5EF4-FFF2-40B4-BE49-F238E27FC236}">
              <a16:creationId xmlns:a16="http://schemas.microsoft.com/office/drawing/2014/main" id="{BEF4B8B1-0722-4350-A8AF-564B256C37FB}"/>
            </a:ext>
          </a:extLst>
        </xdr:cNvPr>
        <xdr:cNvSpPr/>
      </xdr:nvSpPr>
      <xdr:spPr>
        <a:xfrm>
          <a:off x="10915650" y="27708225"/>
          <a:ext cx="1636395" cy="350520"/>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Volver a la herramienta</a:t>
          </a:r>
        </a:p>
      </xdr:txBody>
    </xdr:sp>
    <xdr:clientData/>
  </xdr:twoCellAnchor>
  <xdr:twoCellAnchor>
    <xdr:from>
      <xdr:col>10</xdr:col>
      <xdr:colOff>257175</xdr:colOff>
      <xdr:row>53</xdr:row>
      <xdr:rowOff>219075</xdr:rowOff>
    </xdr:from>
    <xdr:to>
      <xdr:col>11</xdr:col>
      <xdr:colOff>321945</xdr:colOff>
      <xdr:row>53</xdr:row>
      <xdr:rowOff>569595</xdr:rowOff>
    </xdr:to>
    <xdr:sp macro="" textlink="">
      <xdr:nvSpPr>
        <xdr:cNvPr id="31" name="Rectángulo: esquinas redondeadas 30">
          <a:hlinkClick xmlns:r="http://schemas.openxmlformats.org/officeDocument/2006/relationships" r:id="rId14"/>
          <a:extLst>
            <a:ext uri="{FF2B5EF4-FFF2-40B4-BE49-F238E27FC236}">
              <a16:creationId xmlns:a16="http://schemas.microsoft.com/office/drawing/2014/main" id="{114FED22-C441-4E3F-BBFE-518B5BC34574}"/>
            </a:ext>
          </a:extLst>
        </xdr:cNvPr>
        <xdr:cNvSpPr/>
      </xdr:nvSpPr>
      <xdr:spPr>
        <a:xfrm>
          <a:off x="10953750" y="30441900"/>
          <a:ext cx="1636395" cy="350520"/>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Volver a la herramienta</a:t>
          </a:r>
        </a:p>
      </xdr:txBody>
    </xdr:sp>
    <xdr:clientData/>
  </xdr:twoCellAnchor>
  <xdr:twoCellAnchor>
    <xdr:from>
      <xdr:col>10</xdr:col>
      <xdr:colOff>226695</xdr:colOff>
      <xdr:row>56</xdr:row>
      <xdr:rowOff>102870</xdr:rowOff>
    </xdr:from>
    <xdr:to>
      <xdr:col>11</xdr:col>
      <xdr:colOff>295275</xdr:colOff>
      <xdr:row>56</xdr:row>
      <xdr:rowOff>457200</xdr:rowOff>
    </xdr:to>
    <xdr:sp macro="" textlink="">
      <xdr:nvSpPr>
        <xdr:cNvPr id="32" name="Rectángulo: esquinas redondeadas 31">
          <a:hlinkClick xmlns:r="http://schemas.openxmlformats.org/officeDocument/2006/relationships" r:id="rId15"/>
          <a:extLst>
            <a:ext uri="{FF2B5EF4-FFF2-40B4-BE49-F238E27FC236}">
              <a16:creationId xmlns:a16="http://schemas.microsoft.com/office/drawing/2014/main" id="{FA88928E-A6F3-4448-8E85-25A40BE83EE9}"/>
            </a:ext>
          </a:extLst>
        </xdr:cNvPr>
        <xdr:cNvSpPr/>
      </xdr:nvSpPr>
      <xdr:spPr>
        <a:xfrm>
          <a:off x="10923270" y="32202120"/>
          <a:ext cx="1640205" cy="354330"/>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Volver a la herramienta</a:t>
          </a:r>
        </a:p>
      </xdr:txBody>
    </xdr:sp>
    <xdr:clientData/>
  </xdr:twoCellAnchor>
  <xdr:twoCellAnchor>
    <xdr:from>
      <xdr:col>10</xdr:col>
      <xdr:colOff>198120</xdr:colOff>
      <xdr:row>59</xdr:row>
      <xdr:rowOff>891540</xdr:rowOff>
    </xdr:from>
    <xdr:to>
      <xdr:col>11</xdr:col>
      <xdr:colOff>262890</xdr:colOff>
      <xdr:row>59</xdr:row>
      <xdr:rowOff>1249680</xdr:rowOff>
    </xdr:to>
    <xdr:sp macro="" textlink="">
      <xdr:nvSpPr>
        <xdr:cNvPr id="33" name="Rectángulo: esquinas redondeadas 32">
          <a:hlinkClick xmlns:r="http://schemas.openxmlformats.org/officeDocument/2006/relationships" r:id="rId16"/>
          <a:extLst>
            <a:ext uri="{FF2B5EF4-FFF2-40B4-BE49-F238E27FC236}">
              <a16:creationId xmlns:a16="http://schemas.microsoft.com/office/drawing/2014/main" id="{21A8C02E-B71E-46C5-8410-6057A089859C}"/>
            </a:ext>
          </a:extLst>
        </xdr:cNvPr>
        <xdr:cNvSpPr/>
      </xdr:nvSpPr>
      <xdr:spPr>
        <a:xfrm>
          <a:off x="10894695" y="34048065"/>
          <a:ext cx="1636395" cy="358140"/>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Volver a la herramienta</a:t>
          </a:r>
        </a:p>
      </xdr:txBody>
    </xdr:sp>
    <xdr:clientData/>
  </xdr:twoCellAnchor>
  <xdr:twoCellAnchor>
    <xdr:from>
      <xdr:col>10</xdr:col>
      <xdr:colOff>171450</xdr:colOff>
      <xdr:row>70</xdr:row>
      <xdr:rowOff>340995</xdr:rowOff>
    </xdr:from>
    <xdr:to>
      <xdr:col>11</xdr:col>
      <xdr:colOff>230505</xdr:colOff>
      <xdr:row>70</xdr:row>
      <xdr:rowOff>693420</xdr:rowOff>
    </xdr:to>
    <xdr:sp macro="" textlink="">
      <xdr:nvSpPr>
        <xdr:cNvPr id="34" name="Rectángulo: esquinas redondeadas 33">
          <a:hlinkClick xmlns:r="http://schemas.openxmlformats.org/officeDocument/2006/relationships" r:id="rId17"/>
          <a:extLst>
            <a:ext uri="{FF2B5EF4-FFF2-40B4-BE49-F238E27FC236}">
              <a16:creationId xmlns:a16="http://schemas.microsoft.com/office/drawing/2014/main" id="{A8A864DC-376D-44FF-BCCC-3A392836CBB9}"/>
            </a:ext>
          </a:extLst>
        </xdr:cNvPr>
        <xdr:cNvSpPr/>
      </xdr:nvSpPr>
      <xdr:spPr>
        <a:xfrm>
          <a:off x="10868025" y="38383845"/>
          <a:ext cx="1630680" cy="352425"/>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Volver a la herramienta</a:t>
          </a:r>
        </a:p>
      </xdr:txBody>
    </xdr:sp>
    <xdr:clientData/>
  </xdr:twoCellAnchor>
  <xdr:twoCellAnchor>
    <xdr:from>
      <xdr:col>10</xdr:col>
      <xdr:colOff>159067</xdr:colOff>
      <xdr:row>73</xdr:row>
      <xdr:rowOff>1347787</xdr:rowOff>
    </xdr:from>
    <xdr:to>
      <xdr:col>11</xdr:col>
      <xdr:colOff>235267</xdr:colOff>
      <xdr:row>73</xdr:row>
      <xdr:rowOff>1698307</xdr:rowOff>
    </xdr:to>
    <xdr:sp macro="" textlink="">
      <xdr:nvSpPr>
        <xdr:cNvPr id="35" name="Rectángulo: esquinas redondeadas 34">
          <a:hlinkClick xmlns:r="http://schemas.openxmlformats.org/officeDocument/2006/relationships" r:id="rId18"/>
          <a:extLst>
            <a:ext uri="{FF2B5EF4-FFF2-40B4-BE49-F238E27FC236}">
              <a16:creationId xmlns:a16="http://schemas.microsoft.com/office/drawing/2014/main" id="{82B220E4-6020-4B1A-843D-69F3C7F74B7D}"/>
            </a:ext>
          </a:extLst>
        </xdr:cNvPr>
        <xdr:cNvSpPr/>
      </xdr:nvSpPr>
      <xdr:spPr>
        <a:xfrm>
          <a:off x="10862786" y="43722131"/>
          <a:ext cx="1647825" cy="350520"/>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Volver a la herramienta</a:t>
          </a:r>
        </a:p>
      </xdr:txBody>
    </xdr:sp>
    <xdr:clientData/>
  </xdr:twoCellAnchor>
  <xdr:twoCellAnchor>
    <xdr:from>
      <xdr:col>10</xdr:col>
      <xdr:colOff>173355</xdr:colOff>
      <xdr:row>77</xdr:row>
      <xdr:rowOff>104775</xdr:rowOff>
    </xdr:from>
    <xdr:to>
      <xdr:col>11</xdr:col>
      <xdr:colOff>249555</xdr:colOff>
      <xdr:row>77</xdr:row>
      <xdr:rowOff>457200</xdr:rowOff>
    </xdr:to>
    <xdr:sp macro="" textlink="">
      <xdr:nvSpPr>
        <xdr:cNvPr id="36" name="Rectángulo: esquinas redondeadas 35">
          <a:hlinkClick xmlns:r="http://schemas.openxmlformats.org/officeDocument/2006/relationships" r:id="rId19"/>
          <a:extLst>
            <a:ext uri="{FF2B5EF4-FFF2-40B4-BE49-F238E27FC236}">
              <a16:creationId xmlns:a16="http://schemas.microsoft.com/office/drawing/2014/main" id="{88E31610-662A-4B1F-9FCC-9DC2946B15CE}"/>
            </a:ext>
          </a:extLst>
        </xdr:cNvPr>
        <xdr:cNvSpPr/>
      </xdr:nvSpPr>
      <xdr:spPr>
        <a:xfrm>
          <a:off x="10869930" y="43329225"/>
          <a:ext cx="1647825" cy="352425"/>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Volver a la herramienta</a:t>
          </a:r>
        </a:p>
      </xdr:txBody>
    </xdr:sp>
    <xdr:clientData/>
  </xdr:twoCellAnchor>
  <xdr:twoCellAnchor>
    <xdr:from>
      <xdr:col>10</xdr:col>
      <xdr:colOff>160020</xdr:colOff>
      <xdr:row>80</xdr:row>
      <xdr:rowOff>112395</xdr:rowOff>
    </xdr:from>
    <xdr:to>
      <xdr:col>11</xdr:col>
      <xdr:colOff>236220</xdr:colOff>
      <xdr:row>80</xdr:row>
      <xdr:rowOff>468630</xdr:rowOff>
    </xdr:to>
    <xdr:sp macro="" textlink="">
      <xdr:nvSpPr>
        <xdr:cNvPr id="37" name="Rectángulo: esquinas redondeadas 36">
          <a:hlinkClick xmlns:r="http://schemas.openxmlformats.org/officeDocument/2006/relationships" r:id="rId20"/>
          <a:extLst>
            <a:ext uri="{FF2B5EF4-FFF2-40B4-BE49-F238E27FC236}">
              <a16:creationId xmlns:a16="http://schemas.microsoft.com/office/drawing/2014/main" id="{04982E65-CE24-4320-9117-9F96E807A67E}"/>
            </a:ext>
          </a:extLst>
        </xdr:cNvPr>
        <xdr:cNvSpPr/>
      </xdr:nvSpPr>
      <xdr:spPr>
        <a:xfrm>
          <a:off x="10856595" y="44489370"/>
          <a:ext cx="1647825" cy="356235"/>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Volver a la herramienta</a:t>
          </a:r>
        </a:p>
      </xdr:txBody>
    </xdr:sp>
    <xdr:clientData/>
  </xdr:twoCellAnchor>
  <xdr:twoCellAnchor>
    <xdr:from>
      <xdr:col>10</xdr:col>
      <xdr:colOff>200025</xdr:colOff>
      <xdr:row>83</xdr:row>
      <xdr:rowOff>179070</xdr:rowOff>
    </xdr:from>
    <xdr:to>
      <xdr:col>11</xdr:col>
      <xdr:colOff>276225</xdr:colOff>
      <xdr:row>83</xdr:row>
      <xdr:rowOff>542925</xdr:rowOff>
    </xdr:to>
    <xdr:sp macro="" textlink="">
      <xdr:nvSpPr>
        <xdr:cNvPr id="38" name="Rectángulo: esquinas redondeadas 37">
          <a:hlinkClick xmlns:r="http://schemas.openxmlformats.org/officeDocument/2006/relationships" r:id="rId21"/>
          <a:extLst>
            <a:ext uri="{FF2B5EF4-FFF2-40B4-BE49-F238E27FC236}">
              <a16:creationId xmlns:a16="http://schemas.microsoft.com/office/drawing/2014/main" id="{342C2315-88E1-4458-82CB-5D87E769BDFA}"/>
            </a:ext>
          </a:extLst>
        </xdr:cNvPr>
        <xdr:cNvSpPr/>
      </xdr:nvSpPr>
      <xdr:spPr>
        <a:xfrm>
          <a:off x="10896600" y="45775245"/>
          <a:ext cx="1647825" cy="363855"/>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Volver a la herramienta</a:t>
          </a:r>
        </a:p>
      </xdr:txBody>
    </xdr:sp>
    <xdr:clientData/>
  </xdr:twoCellAnchor>
  <xdr:twoCellAnchor>
    <xdr:from>
      <xdr:col>10</xdr:col>
      <xdr:colOff>192405</xdr:colOff>
      <xdr:row>86</xdr:row>
      <xdr:rowOff>542925</xdr:rowOff>
    </xdr:from>
    <xdr:to>
      <xdr:col>11</xdr:col>
      <xdr:colOff>268605</xdr:colOff>
      <xdr:row>86</xdr:row>
      <xdr:rowOff>914400</xdr:rowOff>
    </xdr:to>
    <xdr:sp macro="" textlink="">
      <xdr:nvSpPr>
        <xdr:cNvPr id="39" name="Rectángulo: esquinas redondeadas 38">
          <a:hlinkClick xmlns:r="http://schemas.openxmlformats.org/officeDocument/2006/relationships" r:id="rId22"/>
          <a:extLst>
            <a:ext uri="{FF2B5EF4-FFF2-40B4-BE49-F238E27FC236}">
              <a16:creationId xmlns:a16="http://schemas.microsoft.com/office/drawing/2014/main" id="{81F9DF40-A1B6-4F1B-9DE3-3036F2741C6F}"/>
            </a:ext>
          </a:extLst>
        </xdr:cNvPr>
        <xdr:cNvSpPr/>
      </xdr:nvSpPr>
      <xdr:spPr>
        <a:xfrm>
          <a:off x="10888980" y="47291625"/>
          <a:ext cx="1647825" cy="371475"/>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Volver a la herramienta</a:t>
          </a:r>
        </a:p>
      </xdr:txBody>
    </xdr:sp>
    <xdr:clientData/>
  </xdr:twoCellAnchor>
  <xdr:twoCellAnchor>
    <xdr:from>
      <xdr:col>10</xdr:col>
      <xdr:colOff>168116</xdr:colOff>
      <xdr:row>67</xdr:row>
      <xdr:rowOff>641033</xdr:rowOff>
    </xdr:from>
    <xdr:to>
      <xdr:col>11</xdr:col>
      <xdr:colOff>227171</xdr:colOff>
      <xdr:row>67</xdr:row>
      <xdr:rowOff>999173</xdr:rowOff>
    </xdr:to>
    <xdr:sp macro="" textlink="">
      <xdr:nvSpPr>
        <xdr:cNvPr id="40" name="Rectángulo: esquinas redondeadas 39">
          <a:hlinkClick xmlns:r="http://schemas.openxmlformats.org/officeDocument/2006/relationships" r:id="rId23"/>
          <a:extLst>
            <a:ext uri="{FF2B5EF4-FFF2-40B4-BE49-F238E27FC236}">
              <a16:creationId xmlns:a16="http://schemas.microsoft.com/office/drawing/2014/main" id="{5B93EDB9-03F0-424A-BE8A-D9E855338D5E}"/>
            </a:ext>
          </a:extLst>
        </xdr:cNvPr>
        <xdr:cNvSpPr/>
      </xdr:nvSpPr>
      <xdr:spPr>
        <a:xfrm>
          <a:off x="10871835" y="38872002"/>
          <a:ext cx="1630680" cy="358140"/>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Volver a la herramienta</a:t>
          </a:r>
        </a:p>
      </xdr:txBody>
    </xdr:sp>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siemprealdia.co/colombia/recursos/liquidar-sancion-por-extemporaneidad/?utm_source=siemprealdia&amp;utm_medium=referral&amp;utm_campaign=col-siemprealdia--tmd_siempre_al_dia" TargetMode="External"/><Relationship Id="rId7" Type="http://schemas.openxmlformats.org/officeDocument/2006/relationships/hyperlink" Target="https://www.alegra.com/colombia/contabilidad/?utm_source=siemprealdia&amp;utm_medium=referral&amp;utm_campaign=col-siemprealdia--tmd_siempre_al_dia" TargetMode="External"/><Relationship Id="rId2" Type="http://schemas.openxmlformats.org/officeDocument/2006/relationships/hyperlink" Target="https://siemprealdia.co/colombia/recursos/anticipo-del-impuesto-de-renta-2024/?utm_source=siemprealdia&amp;utm_medium=referral&amp;utm_campaign=col-siemprealdia--tmd_siempre_al_dia" TargetMode="External"/><Relationship Id="rId1" Type="http://schemas.openxmlformats.org/officeDocument/2006/relationships/hyperlink" Target="https://siemprealdia.alegra.com/calendario-tributario-2024/" TargetMode="External"/><Relationship Id="rId6" Type="http://schemas.openxmlformats.org/officeDocument/2006/relationships/hyperlink" Target="https://siemprealdia.co/colombia/impuestos/compensacion-de-perdidas-fiscales-en-declaracion-de-renta/?utm_source=siemprealdia&amp;utm_medium=referral&amp;utm_campaign=col-siemprealdia--tmd_siempre_al_dia" TargetMode="External"/><Relationship Id="rId5" Type="http://schemas.openxmlformats.org/officeDocument/2006/relationships/hyperlink" Target="https://siemprealdia.co/colombia/impuestos/descuentos-tributarios-en-renta-de-personas-naturales/?utm_source=siemprealdia&amp;utm_medium=referral&amp;utm_campaign=col-siemprealdia--tmd_siempre_al_dia" TargetMode="External"/><Relationship Id="rId4" Type="http://schemas.openxmlformats.org/officeDocument/2006/relationships/hyperlink" Target="https://siemprealdia.co/colombia/impuestos/correccion-en-la-declaracion-de-renta/?utm_source=siemprealdia&amp;utm_medium=referral&amp;utm_campaign=col-siemprealdia--tmd_siempre_al_dia" TargetMode="External"/><Relationship Id="rId9"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hyperlink" Target="https://siemprealdia.co/colombia/impuestos/cesantias-e-intereses-de-cesantias-en-la-declaracion-de-renta/?utm_source=siemprealdia&amp;utm_medium=referral&amp;utm_campaign=col-siemprealdia--tmd_siempre_al_dia" TargetMode="External"/><Relationship Id="rId2" Type="http://schemas.openxmlformats.org/officeDocument/2006/relationships/hyperlink" Target="https://siemprealdia.co/colombia/recursos/guia-para-la-declaracion-de-renta-de-personas-naturales-2023/?utm_source=siemprealdia&amp;utm_medium=referral&amp;utm_campaign=col-siemprealdia--tmd_siempre_al_dia" TargetMode="External"/><Relationship Id="rId1" Type="http://schemas.openxmlformats.org/officeDocument/2006/relationships/hyperlink" Target="https://siemprealdia.co/colombia/impuestos/formulario-210-para-declaraciones-de-renta-de-personas-naturales-residentes/?utm_source=siemprealdia&amp;utm_medium=referral&amp;utm_campaign=col-siemprealdia--tmd_siempre_al_dia" TargetMode="External"/><Relationship Id="rId5" Type="http://schemas.openxmlformats.org/officeDocument/2006/relationships/drawing" Target="../drawings/drawing4.xml"/><Relationship Id="rId4" Type="http://schemas.openxmlformats.org/officeDocument/2006/relationships/hyperlink" Target="https://siemprealdia.co/colombia/impuestos/aplicacion-de-la-nueva-deduccion-por-dependientes/?utm_source=siemprealdia&amp;utm_medium=referral&amp;utm_campaign=col-portal--tmd_siempre_al_di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FE35F-A71F-4470-A58A-9E5005E609A1}">
  <dimension ref="A1"/>
  <sheetViews>
    <sheetView tabSelected="1" workbookViewId="0"/>
  </sheetViews>
  <sheetFormatPr baseColWidth="10" defaultColWidth="11.453125" defaultRowHeight="14.5" x14ac:dyDescent="0.35"/>
  <cols>
    <col min="1" max="16384" width="11.453125" style="7"/>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09574-BE5F-4B0A-9141-502762C6D6B9}">
  <dimension ref="A1"/>
  <sheetViews>
    <sheetView workbookViewId="0"/>
  </sheetViews>
  <sheetFormatPr baseColWidth="10" defaultColWidth="11.453125" defaultRowHeight="14.5" x14ac:dyDescent="0.35"/>
  <cols>
    <col min="1" max="16384" width="11.453125" style="7"/>
  </cols>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3966A-7FF4-463C-A6A1-3A2CE31E549A}">
  <dimension ref="A1:L272"/>
  <sheetViews>
    <sheetView zoomScaleNormal="100" workbookViewId="0">
      <selection activeCell="B2" sqref="B2"/>
    </sheetView>
  </sheetViews>
  <sheetFormatPr baseColWidth="10" defaultColWidth="11.54296875" defaultRowHeight="15.5" x14ac:dyDescent="0.35"/>
  <cols>
    <col min="1" max="1" width="16.90625" style="1" bestFit="1" customWidth="1"/>
    <col min="2" max="2" width="24.54296875" style="1" customWidth="1"/>
    <col min="3" max="3" width="23.6328125" style="1" customWidth="1"/>
    <col min="4" max="4" width="22.6328125" style="1" customWidth="1"/>
    <col min="5" max="5" width="20.90625" style="1" customWidth="1"/>
    <col min="6" max="6" width="24.1796875" style="1" customWidth="1"/>
    <col min="7" max="7" width="47" style="1" customWidth="1"/>
    <col min="8" max="8" width="24.6328125" style="1" customWidth="1"/>
    <col min="9" max="9" width="21.1796875" style="1" customWidth="1"/>
    <col min="10" max="10" width="19.1796875" style="1" customWidth="1"/>
    <col min="11" max="16384" width="11.54296875" style="1"/>
  </cols>
  <sheetData>
    <row r="1" spans="1:12" x14ac:dyDescent="0.35">
      <c r="A1" s="2"/>
      <c r="D1" s="2"/>
      <c r="E1" s="2"/>
      <c r="F1" s="2"/>
      <c r="K1" s="2"/>
      <c r="L1" s="2"/>
    </row>
    <row r="2" spans="1:12" ht="15.75" customHeight="1" x14ac:dyDescent="0.35">
      <c r="A2" s="2"/>
      <c r="C2" s="171" t="s">
        <v>196</v>
      </c>
      <c r="D2" s="171"/>
      <c r="E2" s="171"/>
      <c r="F2" s="171"/>
      <c r="G2" s="171"/>
      <c r="H2" s="30"/>
      <c r="I2" s="170" t="s">
        <v>331</v>
      </c>
      <c r="J2" s="9"/>
      <c r="K2" s="9"/>
      <c r="L2" s="2"/>
    </row>
    <row r="3" spans="1:12" ht="36.65" customHeight="1" x14ac:dyDescent="0.35">
      <c r="A3" s="2"/>
      <c r="C3" s="171"/>
      <c r="D3" s="171"/>
      <c r="E3" s="171"/>
      <c r="F3" s="171"/>
      <c r="G3" s="171"/>
      <c r="H3" s="30"/>
      <c r="I3" s="170"/>
      <c r="J3" s="9"/>
      <c r="K3" s="9"/>
      <c r="L3" s="2"/>
    </row>
    <row r="4" spans="1:12" x14ac:dyDescent="0.35">
      <c r="A4" s="2"/>
      <c r="D4" s="2"/>
      <c r="E4" s="2"/>
      <c r="F4" s="2"/>
      <c r="I4" s="9"/>
      <c r="J4" s="9"/>
      <c r="K4" s="9"/>
      <c r="L4" s="2"/>
    </row>
    <row r="5" spans="1:12" ht="30" customHeight="1" x14ac:dyDescent="0.35">
      <c r="A5" s="2"/>
      <c r="B5" s="172" t="s">
        <v>327</v>
      </c>
      <c r="C5" s="172"/>
      <c r="D5" s="172"/>
      <c r="E5" s="172"/>
      <c r="F5" s="172"/>
      <c r="G5" s="172"/>
      <c r="H5" s="172"/>
      <c r="I5" s="4"/>
      <c r="J5" s="4"/>
      <c r="K5" s="4"/>
      <c r="L5" s="2"/>
    </row>
    <row r="6" spans="1:12" ht="154.25" customHeight="1" x14ac:dyDescent="0.35">
      <c r="A6" s="2"/>
      <c r="B6" s="172"/>
      <c r="C6" s="172"/>
      <c r="D6" s="172"/>
      <c r="E6" s="172"/>
      <c r="F6" s="172"/>
      <c r="G6" s="172"/>
      <c r="H6" s="172"/>
      <c r="I6" s="4"/>
      <c r="J6" s="4"/>
      <c r="K6" s="4"/>
      <c r="L6" s="2"/>
    </row>
    <row r="7" spans="1:12" ht="12" customHeight="1" x14ac:dyDescent="0.35">
      <c r="B7" s="43"/>
      <c r="C7" s="41"/>
      <c r="D7" s="41"/>
      <c r="E7" s="41"/>
      <c r="F7" s="41"/>
      <c r="G7" s="41"/>
      <c r="H7" s="41"/>
    </row>
    <row r="8" spans="1:12" ht="12" customHeight="1" x14ac:dyDescent="0.35">
      <c r="B8" s="43"/>
      <c r="C8" s="41"/>
      <c r="D8" s="41"/>
      <c r="E8" s="41"/>
      <c r="F8" s="41"/>
      <c r="G8" s="41"/>
      <c r="H8" s="41"/>
    </row>
    <row r="9" spans="1:12" ht="12" customHeight="1" x14ac:dyDescent="0.35">
      <c r="B9" s="43"/>
      <c r="C9" s="41"/>
      <c r="D9" s="41"/>
      <c r="E9" s="41"/>
      <c r="F9" s="41"/>
      <c r="G9" s="41"/>
      <c r="H9" s="41"/>
    </row>
    <row r="10" spans="1:12" ht="12" customHeight="1" x14ac:dyDescent="0.35">
      <c r="B10" s="43"/>
      <c r="C10" s="41"/>
      <c r="D10" s="41"/>
      <c r="E10" s="41"/>
      <c r="F10" s="41"/>
      <c r="G10" s="41"/>
      <c r="H10" s="41"/>
    </row>
    <row r="11" spans="1:12" ht="12" customHeight="1" x14ac:dyDescent="0.35">
      <c r="B11" s="43"/>
      <c r="C11" s="41"/>
      <c r="D11" s="41"/>
      <c r="E11" s="41"/>
      <c r="F11" s="41"/>
      <c r="G11" s="41"/>
      <c r="H11" s="41"/>
    </row>
    <row r="12" spans="1:12" ht="22.75" customHeight="1" x14ac:dyDescent="0.35">
      <c r="B12" s="11" t="s">
        <v>47</v>
      </c>
      <c r="C12" s="41"/>
      <c r="D12" s="16"/>
      <c r="E12" s="8"/>
      <c r="F12" s="8"/>
      <c r="G12" s="10"/>
      <c r="H12" s="10"/>
    </row>
    <row r="13" spans="1:12" s="8" customFormat="1" ht="22.75" customHeight="1" x14ac:dyDescent="0.35">
      <c r="B13" s="45">
        <v>42412</v>
      </c>
      <c r="C13" s="41"/>
      <c r="G13" s="10"/>
      <c r="H13" s="10"/>
    </row>
    <row r="14" spans="1:12" ht="13.75" customHeight="1" x14ac:dyDescent="0.35">
      <c r="A14" s="10"/>
      <c r="B14" s="16"/>
      <c r="C14" s="10"/>
      <c r="D14" s="16"/>
      <c r="E14" s="8"/>
      <c r="F14" s="8"/>
      <c r="G14" s="10"/>
      <c r="H14" s="10"/>
    </row>
    <row r="15" spans="1:12" ht="52.25" customHeight="1" x14ac:dyDescent="0.35">
      <c r="B15" s="91" t="s">
        <v>48</v>
      </c>
      <c r="C15" s="92"/>
      <c r="D15" s="92"/>
      <c r="E15" s="92"/>
      <c r="F15" s="92"/>
      <c r="G15" s="92"/>
      <c r="H15" s="92"/>
    </row>
    <row r="16" spans="1:12" ht="34.25" customHeight="1" x14ac:dyDescent="0.35">
      <c r="B16" s="87" t="s">
        <v>5</v>
      </c>
      <c r="C16" s="103"/>
      <c r="D16" s="39" t="s">
        <v>37</v>
      </c>
      <c r="E16" s="87" t="s">
        <v>3</v>
      </c>
      <c r="F16" s="103"/>
      <c r="G16" s="103"/>
      <c r="H16" s="88"/>
    </row>
    <row r="17" spans="1:8" ht="95.4" customHeight="1" x14ac:dyDescent="0.35">
      <c r="B17" s="164" t="s">
        <v>316</v>
      </c>
      <c r="C17" s="165"/>
      <c r="D17" s="33">
        <v>8000000</v>
      </c>
      <c r="E17" s="89" t="s">
        <v>92</v>
      </c>
      <c r="F17" s="97"/>
      <c r="G17" s="97"/>
      <c r="H17" s="90"/>
    </row>
    <row r="18" spans="1:8" ht="82.75" customHeight="1" x14ac:dyDescent="0.35">
      <c r="B18" s="158" t="s">
        <v>91</v>
      </c>
      <c r="C18" s="159"/>
      <c r="D18" s="33">
        <v>2000000</v>
      </c>
      <c r="E18" s="89" t="s">
        <v>93</v>
      </c>
      <c r="F18" s="97"/>
      <c r="G18" s="97"/>
      <c r="H18" s="90"/>
    </row>
    <row r="19" spans="1:8" ht="66.650000000000006" customHeight="1" x14ac:dyDescent="0.35">
      <c r="B19" s="89" t="s">
        <v>50</v>
      </c>
      <c r="C19" s="90"/>
      <c r="D19" s="33">
        <v>0</v>
      </c>
      <c r="E19" s="78" t="s">
        <v>119</v>
      </c>
      <c r="F19" s="108"/>
      <c r="G19" s="108"/>
      <c r="H19" s="109"/>
    </row>
    <row r="20" spans="1:8" ht="58.25" customHeight="1" x14ac:dyDescent="0.35">
      <c r="A20" s="63"/>
      <c r="B20" s="81" t="s">
        <v>58</v>
      </c>
      <c r="C20" s="82"/>
      <c r="D20" s="33">
        <v>100000000</v>
      </c>
      <c r="E20" s="110" t="s">
        <v>99</v>
      </c>
      <c r="F20" s="111"/>
      <c r="G20" s="111"/>
      <c r="H20" s="112"/>
    </row>
    <row r="21" spans="1:8" ht="58.25" customHeight="1" x14ac:dyDescent="0.35">
      <c r="B21" s="89" t="s">
        <v>63</v>
      </c>
      <c r="C21" s="90"/>
      <c r="D21" s="33">
        <v>0</v>
      </c>
      <c r="E21" s="113"/>
      <c r="F21" s="114"/>
      <c r="G21" s="114"/>
      <c r="H21" s="115"/>
    </row>
    <row r="22" spans="1:8" ht="58.25" customHeight="1" x14ac:dyDescent="0.35">
      <c r="B22" s="81" t="s">
        <v>54</v>
      </c>
      <c r="C22" s="82"/>
      <c r="D22" s="33">
        <v>0</v>
      </c>
      <c r="E22" s="113"/>
      <c r="F22" s="114"/>
      <c r="G22" s="114"/>
      <c r="H22" s="115"/>
    </row>
    <row r="23" spans="1:8" ht="58.25" customHeight="1" x14ac:dyDescent="0.35">
      <c r="B23" s="81" t="s">
        <v>55</v>
      </c>
      <c r="C23" s="82"/>
      <c r="D23" s="33">
        <v>0</v>
      </c>
      <c r="E23" s="113"/>
      <c r="F23" s="114"/>
      <c r="G23" s="114"/>
      <c r="H23" s="115"/>
    </row>
    <row r="24" spans="1:8" ht="58.25" customHeight="1" x14ac:dyDescent="0.35">
      <c r="B24" s="81" t="s">
        <v>56</v>
      </c>
      <c r="C24" s="82"/>
      <c r="D24" s="33">
        <v>0</v>
      </c>
      <c r="E24" s="113"/>
      <c r="F24" s="114"/>
      <c r="G24" s="114"/>
      <c r="H24" s="115"/>
    </row>
    <row r="25" spans="1:8" ht="58.25" customHeight="1" x14ac:dyDescent="0.35">
      <c r="B25" s="81" t="s">
        <v>59</v>
      </c>
      <c r="C25" s="82"/>
      <c r="D25" s="33">
        <v>0</v>
      </c>
      <c r="E25" s="113"/>
      <c r="F25" s="114"/>
      <c r="G25" s="114"/>
      <c r="H25" s="115"/>
    </row>
    <row r="26" spans="1:8" ht="58.25" customHeight="1" x14ac:dyDescent="0.35">
      <c r="B26" s="89" t="s">
        <v>60</v>
      </c>
      <c r="C26" s="90"/>
      <c r="D26" s="33">
        <v>0</v>
      </c>
      <c r="E26" s="113"/>
      <c r="F26" s="114"/>
      <c r="G26" s="114"/>
      <c r="H26" s="115"/>
    </row>
    <row r="27" spans="1:8" ht="58.25" customHeight="1" x14ac:dyDescent="0.35">
      <c r="B27" s="89" t="s">
        <v>61</v>
      </c>
      <c r="C27" s="90"/>
      <c r="D27" s="33">
        <v>0</v>
      </c>
      <c r="E27" s="113"/>
      <c r="F27" s="114"/>
      <c r="G27" s="114"/>
      <c r="H27" s="115"/>
    </row>
    <row r="28" spans="1:8" ht="58.25" customHeight="1" x14ac:dyDescent="0.35">
      <c r="B28" s="81" t="s">
        <v>62</v>
      </c>
      <c r="C28" s="82"/>
      <c r="D28" s="33">
        <v>0</v>
      </c>
      <c r="E28" s="113"/>
      <c r="F28" s="114"/>
      <c r="G28" s="114"/>
      <c r="H28" s="115"/>
    </row>
    <row r="29" spans="1:8" ht="58.25" customHeight="1" x14ac:dyDescent="0.35">
      <c r="B29" s="89" t="s">
        <v>57</v>
      </c>
      <c r="C29" s="90"/>
      <c r="D29" s="33">
        <v>10000000</v>
      </c>
      <c r="E29" s="116"/>
      <c r="F29" s="117"/>
      <c r="G29" s="117"/>
      <c r="H29" s="118"/>
    </row>
    <row r="30" spans="1:8" ht="168" customHeight="1" x14ac:dyDescent="0.35">
      <c r="B30" s="89" t="s">
        <v>95</v>
      </c>
      <c r="C30" s="90"/>
      <c r="D30" s="33">
        <v>0</v>
      </c>
      <c r="E30" s="78" t="s">
        <v>120</v>
      </c>
      <c r="F30" s="108"/>
      <c r="G30" s="108"/>
      <c r="H30" s="109"/>
    </row>
    <row r="31" spans="1:8" ht="58.25" customHeight="1" x14ac:dyDescent="0.35">
      <c r="B31" s="89" t="s">
        <v>90</v>
      </c>
      <c r="C31" s="90"/>
      <c r="D31" s="33">
        <v>0</v>
      </c>
      <c r="E31" s="78" t="s">
        <v>96</v>
      </c>
      <c r="F31" s="108"/>
      <c r="G31" s="108"/>
      <c r="H31" s="109"/>
    </row>
    <row r="32" spans="1:8" ht="51" customHeight="1" x14ac:dyDescent="0.35">
      <c r="B32" s="122" t="s">
        <v>44</v>
      </c>
      <c r="C32" s="123"/>
      <c r="D32" s="42">
        <f>ROUND(IF(SUM(D17:D30)&gt;0,SUM(D17:D30),0),-3)</f>
        <v>120000000</v>
      </c>
      <c r="E32" s="119"/>
      <c r="F32" s="120"/>
      <c r="G32" s="120"/>
      <c r="H32" s="121"/>
    </row>
    <row r="33" spans="1:8" ht="22.75" customHeight="1" x14ac:dyDescent="0.35"/>
    <row r="34" spans="1:8" ht="63" customHeight="1" x14ac:dyDescent="0.35">
      <c r="B34" s="91" t="s">
        <v>49</v>
      </c>
      <c r="C34" s="92"/>
      <c r="D34" s="92"/>
      <c r="E34" s="92"/>
      <c r="F34" s="92"/>
      <c r="G34" s="92"/>
      <c r="H34" s="92"/>
    </row>
    <row r="35" spans="1:8" ht="51.65" customHeight="1" x14ac:dyDescent="0.35">
      <c r="B35" s="87" t="s">
        <v>5</v>
      </c>
      <c r="C35" s="88"/>
      <c r="D35" s="11" t="s">
        <v>37</v>
      </c>
      <c r="E35" s="3" t="s">
        <v>75</v>
      </c>
      <c r="F35" s="3" t="s">
        <v>15</v>
      </c>
      <c r="G35" s="92" t="s">
        <v>3</v>
      </c>
      <c r="H35" s="92"/>
    </row>
    <row r="36" spans="1:8" ht="54.75" customHeight="1" x14ac:dyDescent="0.35">
      <c r="A36" s="37"/>
      <c r="B36" s="101" t="s">
        <v>35</v>
      </c>
      <c r="C36" s="102"/>
      <c r="D36" s="33">
        <v>4000000</v>
      </c>
      <c r="E36" s="15" t="s">
        <v>14</v>
      </c>
      <c r="F36" s="19">
        <f>D36</f>
        <v>4000000</v>
      </c>
      <c r="G36" s="81"/>
      <c r="H36" s="82"/>
    </row>
    <row r="37" spans="1:8" ht="54.75" customHeight="1" x14ac:dyDescent="0.35">
      <c r="A37" s="37"/>
      <c r="B37" s="81" t="s">
        <v>11</v>
      </c>
      <c r="C37" s="82"/>
      <c r="D37" s="33">
        <v>1000000</v>
      </c>
      <c r="E37" s="15" t="s">
        <v>14</v>
      </c>
      <c r="F37" s="19">
        <f>D37</f>
        <v>1000000</v>
      </c>
      <c r="G37" s="81"/>
      <c r="H37" s="82"/>
    </row>
    <row r="38" spans="1:8" ht="33" customHeight="1" x14ac:dyDescent="0.35">
      <c r="B38" s="101" t="s">
        <v>80</v>
      </c>
      <c r="C38" s="102"/>
      <c r="D38" s="156">
        <v>0</v>
      </c>
      <c r="E38" s="19">
        <f>2500*B13</f>
        <v>106030000</v>
      </c>
      <c r="F38" s="137">
        <f>IF(D38&gt;0,MIN(D38,E39,E38),0)</f>
        <v>0</v>
      </c>
      <c r="G38" s="101" t="s">
        <v>76</v>
      </c>
      <c r="H38" s="102"/>
    </row>
    <row r="39" spans="1:8" ht="34.75" customHeight="1" x14ac:dyDescent="0.35">
      <c r="B39" s="81"/>
      <c r="C39" s="82"/>
      <c r="D39" s="157"/>
      <c r="E39" s="20">
        <f>D32*25%</f>
        <v>30000000</v>
      </c>
      <c r="F39" s="138"/>
      <c r="G39" s="81"/>
      <c r="H39" s="82"/>
    </row>
    <row r="40" spans="1:8" ht="54.75" customHeight="1" x14ac:dyDescent="0.35">
      <c r="B40" s="101" t="s">
        <v>13</v>
      </c>
      <c r="C40" s="102"/>
      <c r="D40" s="33">
        <v>4000000</v>
      </c>
      <c r="E40" s="15" t="s">
        <v>14</v>
      </c>
      <c r="F40" s="19">
        <f>D40</f>
        <v>4000000</v>
      </c>
      <c r="G40" s="130"/>
      <c r="H40" s="131"/>
    </row>
    <row r="41" spans="1:8" ht="72" customHeight="1" x14ac:dyDescent="0.35">
      <c r="B41" s="89" t="s">
        <v>77</v>
      </c>
      <c r="C41" s="90"/>
      <c r="D41" s="33">
        <v>0</v>
      </c>
      <c r="E41" s="15" t="s">
        <v>14</v>
      </c>
      <c r="F41" s="19">
        <f>D41</f>
        <v>0</v>
      </c>
      <c r="G41" s="89"/>
      <c r="H41" s="90"/>
    </row>
    <row r="42" spans="1:8" ht="55.25" customHeight="1" x14ac:dyDescent="0.35">
      <c r="B42" s="122" t="s">
        <v>78</v>
      </c>
      <c r="C42" s="123"/>
      <c r="D42" s="42"/>
      <c r="E42" s="24"/>
      <c r="F42" s="42">
        <f>ROUND(IF(SUM(F36:F41)&gt;0,SUM(F36:F41),0),-3)</f>
        <v>9000000</v>
      </c>
      <c r="G42" s="89"/>
      <c r="H42" s="90"/>
    </row>
    <row r="43" spans="1:8" ht="25.75" customHeight="1" x14ac:dyDescent="0.35"/>
    <row r="44" spans="1:8" ht="55.25" customHeight="1" x14ac:dyDescent="0.35">
      <c r="B44" s="91" t="s">
        <v>52</v>
      </c>
      <c r="C44" s="92"/>
      <c r="D44" s="92"/>
      <c r="E44" s="92"/>
      <c r="F44" s="92"/>
      <c r="G44" s="92"/>
      <c r="H44" s="92"/>
    </row>
    <row r="45" spans="1:8" ht="43.75" customHeight="1" x14ac:dyDescent="0.35">
      <c r="B45" s="87" t="s">
        <v>5</v>
      </c>
      <c r="C45" s="88"/>
      <c r="D45" s="87" t="s">
        <v>15</v>
      </c>
      <c r="E45" s="103"/>
      <c r="F45" s="88"/>
      <c r="G45" s="92" t="s">
        <v>3</v>
      </c>
      <c r="H45" s="92"/>
    </row>
    <row r="46" spans="1:8" ht="43.75" customHeight="1" x14ac:dyDescent="0.35">
      <c r="B46" s="101" t="s">
        <v>216</v>
      </c>
      <c r="C46" s="102"/>
      <c r="D46" s="105">
        <f>D32</f>
        <v>120000000</v>
      </c>
      <c r="E46" s="106"/>
      <c r="F46" s="107"/>
      <c r="G46" s="81"/>
      <c r="H46" s="82"/>
    </row>
    <row r="47" spans="1:8" ht="43.75" customHeight="1" x14ac:dyDescent="0.35">
      <c r="B47" s="101" t="s">
        <v>217</v>
      </c>
      <c r="C47" s="102"/>
      <c r="D47" s="105">
        <f>F42</f>
        <v>9000000</v>
      </c>
      <c r="E47" s="106"/>
      <c r="F47" s="107"/>
      <c r="G47" s="81"/>
      <c r="H47" s="82"/>
    </row>
    <row r="48" spans="1:8" ht="52.25" customHeight="1" x14ac:dyDescent="0.35">
      <c r="B48" s="104" t="s">
        <v>51</v>
      </c>
      <c r="C48" s="102"/>
      <c r="D48" s="105">
        <f>ROUND(IF((D46-SUM(D47))&gt;0,(D46-SUM(D47)),0),-3)</f>
        <v>111000000</v>
      </c>
      <c r="E48" s="106"/>
      <c r="F48" s="107"/>
      <c r="G48" s="81"/>
      <c r="H48" s="82"/>
    </row>
    <row r="49" spans="2:9" ht="27" customHeight="1" x14ac:dyDescent="0.35">
      <c r="B49" s="40"/>
      <c r="C49" s="40"/>
    </row>
    <row r="50" spans="2:9" ht="56.4" customHeight="1" x14ac:dyDescent="0.35">
      <c r="B50" s="91" t="s">
        <v>65</v>
      </c>
      <c r="C50" s="92"/>
      <c r="D50" s="92"/>
      <c r="E50" s="92"/>
      <c r="F50" s="92"/>
      <c r="G50" s="92"/>
      <c r="H50" s="92"/>
    </row>
    <row r="51" spans="2:9" ht="37.75" customHeight="1" x14ac:dyDescent="0.35">
      <c r="B51" s="87" t="s">
        <v>5</v>
      </c>
      <c r="C51" s="88"/>
      <c r="D51" s="3" t="s">
        <v>37</v>
      </c>
      <c r="E51" s="3" t="s">
        <v>79</v>
      </c>
      <c r="F51" s="3" t="s">
        <v>15</v>
      </c>
      <c r="G51" s="92" t="s">
        <v>3</v>
      </c>
      <c r="H51" s="92"/>
    </row>
    <row r="52" spans="2:9" ht="51" customHeight="1" x14ac:dyDescent="0.35">
      <c r="B52" s="89" t="s">
        <v>81</v>
      </c>
      <c r="C52" s="90"/>
      <c r="D52" s="33">
        <v>3000000</v>
      </c>
      <c r="E52" s="21">
        <f>30%*D32</f>
        <v>36000000</v>
      </c>
      <c r="F52" s="137">
        <f>ROUND(IF((D52+D53)&gt;0,MIN(D52+D53,E52,E53),0),-3)</f>
        <v>3000000</v>
      </c>
      <c r="G52" s="101" t="s">
        <v>121</v>
      </c>
      <c r="H52" s="102"/>
    </row>
    <row r="53" spans="2:9" ht="51" customHeight="1" x14ac:dyDescent="0.35">
      <c r="B53" s="93" t="s">
        <v>317</v>
      </c>
      <c r="C53" s="93"/>
      <c r="D53" s="33">
        <v>0</v>
      </c>
      <c r="E53" s="21">
        <f>3800*B13</f>
        <v>161165600</v>
      </c>
      <c r="F53" s="138"/>
      <c r="G53" s="81"/>
      <c r="H53" s="82"/>
    </row>
    <row r="54" spans="2:9" ht="51" customHeight="1" x14ac:dyDescent="0.35">
      <c r="D54" s="37"/>
      <c r="E54" s="37"/>
      <c r="G54" s="37"/>
    </row>
    <row r="55" spans="2:9" ht="51" customHeight="1" x14ac:dyDescent="0.35">
      <c r="B55" s="91" t="s">
        <v>66</v>
      </c>
      <c r="C55" s="92"/>
      <c r="D55" s="92"/>
      <c r="E55" s="92"/>
      <c r="F55" s="92"/>
      <c r="G55" s="92"/>
      <c r="H55" s="92"/>
    </row>
    <row r="56" spans="2:9" ht="51" customHeight="1" x14ac:dyDescent="0.35">
      <c r="B56" s="87" t="s">
        <v>5</v>
      </c>
      <c r="C56" s="88"/>
      <c r="D56" s="3" t="s">
        <v>37</v>
      </c>
      <c r="E56" s="3" t="s">
        <v>79</v>
      </c>
      <c r="F56" s="3" t="s">
        <v>15</v>
      </c>
      <c r="G56" s="92" t="s">
        <v>3</v>
      </c>
      <c r="H56" s="92"/>
    </row>
    <row r="57" spans="2:9" ht="57" customHeight="1" x14ac:dyDescent="0.35">
      <c r="B57" s="93" t="s">
        <v>33</v>
      </c>
      <c r="C57" s="93"/>
      <c r="D57" s="36">
        <v>0</v>
      </c>
      <c r="E57" s="15" t="s">
        <v>14</v>
      </c>
      <c r="F57" s="21">
        <f>D57</f>
        <v>0</v>
      </c>
      <c r="G57" s="81"/>
      <c r="H57" s="82"/>
    </row>
    <row r="58" spans="2:9" ht="57" customHeight="1" x14ac:dyDescent="0.35">
      <c r="B58" s="93" t="s">
        <v>28</v>
      </c>
      <c r="C58" s="93"/>
      <c r="D58" s="36">
        <v>0</v>
      </c>
      <c r="E58" s="15" t="s">
        <v>14</v>
      </c>
      <c r="F58" s="21">
        <f>D58</f>
        <v>0</v>
      </c>
      <c r="G58" s="81"/>
      <c r="H58" s="82"/>
    </row>
    <row r="59" spans="2:9" ht="51" customHeight="1" x14ac:dyDescent="0.35">
      <c r="B59" s="158" t="str">
        <f>B17</f>
        <v>Cesantías de 2017 y siguientes</v>
      </c>
      <c r="C59" s="159"/>
      <c r="D59" s="44" t="s">
        <v>14</v>
      </c>
      <c r="E59" s="15">
        <f>IF($D$31&gt;(650*$B$13),D17*0%,IF($D$31&gt;(590*$B$13),D17*20%,IF($D$31&gt;(530*$B$13),D17*40%,IF($D$31&gt;(470*$B$13),D17*60%,IF($D$31&gt;(410*$B$13),D17*80%,IF($D$31&gt;(350*$B$13),D17*90%,0))))))</f>
        <v>0</v>
      </c>
      <c r="F59" s="26">
        <f>IF(D17&gt;E59,D17,E59)</f>
        <v>8000000</v>
      </c>
      <c r="G59" s="89" t="s">
        <v>301</v>
      </c>
      <c r="H59" s="90"/>
    </row>
    <row r="60" spans="2:9" ht="57" customHeight="1" x14ac:dyDescent="0.35">
      <c r="B60" s="158" t="str">
        <f>B18</f>
        <v>Cesantías de 2016 y anteriores</v>
      </c>
      <c r="C60" s="159"/>
      <c r="D60" s="44" t="s">
        <v>14</v>
      </c>
      <c r="E60" s="15">
        <f>IF($D$31&gt;(650*$B$13),D18*0%,IF($D$31&gt;(590*$B$13),D18*20%,IF($D$31&gt;(530*$B$13),D18*40%,IF($D$31&gt;(470*$B$13),D18*60%,IF($D$31&gt;(410*$B$13),D18*80%,IF($D$31&gt;(350*$B$13),D18*90%,0))))))</f>
        <v>0</v>
      </c>
      <c r="F60" s="26">
        <f>IF(D18&gt;E60,D18,E60)</f>
        <v>2000000</v>
      </c>
      <c r="G60" s="89" t="s">
        <v>302</v>
      </c>
      <c r="H60" s="90"/>
    </row>
    <row r="61" spans="2:9" ht="68.400000000000006" customHeight="1" x14ac:dyDescent="0.35">
      <c r="B61" s="93" t="s">
        <v>29</v>
      </c>
      <c r="C61" s="93"/>
      <c r="D61" s="36">
        <v>0</v>
      </c>
      <c r="E61" s="15" t="s">
        <v>14</v>
      </c>
      <c r="F61" s="21">
        <f>D61</f>
        <v>0</v>
      </c>
      <c r="G61" s="81" t="s">
        <v>123</v>
      </c>
      <c r="H61" s="82"/>
    </row>
    <row r="62" spans="2:9" ht="68.400000000000006" customHeight="1" x14ac:dyDescent="0.35">
      <c r="B62" s="93" t="s">
        <v>318</v>
      </c>
      <c r="C62" s="93"/>
      <c r="D62" s="36">
        <v>0</v>
      </c>
      <c r="E62" s="38" t="s">
        <v>46</v>
      </c>
      <c r="F62" s="21">
        <f>D62</f>
        <v>0</v>
      </c>
      <c r="G62" s="81" t="s">
        <v>122</v>
      </c>
      <c r="H62" s="82"/>
      <c r="I62" s="13"/>
    </row>
    <row r="63" spans="2:9" ht="68.400000000000006" customHeight="1" x14ac:dyDescent="0.35">
      <c r="B63" s="93" t="s">
        <v>30</v>
      </c>
      <c r="C63" s="93"/>
      <c r="D63" s="36">
        <v>0</v>
      </c>
      <c r="E63" s="15" t="s">
        <v>14</v>
      </c>
      <c r="F63" s="21">
        <f>D63</f>
        <v>0</v>
      </c>
      <c r="G63" s="81" t="s">
        <v>124</v>
      </c>
      <c r="H63" s="82"/>
    </row>
    <row r="64" spans="2:9" ht="68.400000000000006" customHeight="1" x14ac:dyDescent="0.35">
      <c r="B64" s="93" t="s">
        <v>34</v>
      </c>
      <c r="C64" s="93"/>
      <c r="D64" s="36">
        <v>0</v>
      </c>
      <c r="E64" s="15" t="s">
        <v>45</v>
      </c>
      <c r="F64" s="21">
        <f>D64</f>
        <v>0</v>
      </c>
      <c r="G64" s="81" t="s">
        <v>125</v>
      </c>
      <c r="H64" s="82"/>
    </row>
    <row r="65" spans="2:8" ht="68.400000000000006" customHeight="1" x14ac:dyDescent="0.35">
      <c r="B65" s="89" t="s">
        <v>40</v>
      </c>
      <c r="C65" s="90"/>
      <c r="D65" s="18" t="s">
        <v>14</v>
      </c>
      <c r="E65" s="15" t="s">
        <v>14</v>
      </c>
      <c r="F65" s="21">
        <f>F109</f>
        <v>17750000</v>
      </c>
      <c r="G65" s="158" t="s">
        <v>303</v>
      </c>
      <c r="H65" s="159"/>
    </row>
    <row r="66" spans="2:8" ht="68.400000000000006" customHeight="1" x14ac:dyDescent="0.35">
      <c r="B66" s="93" t="s">
        <v>31</v>
      </c>
      <c r="C66" s="93"/>
      <c r="D66" s="36">
        <v>0</v>
      </c>
      <c r="E66" s="15" t="s">
        <v>14</v>
      </c>
      <c r="F66" s="21">
        <f>D66</f>
        <v>0</v>
      </c>
      <c r="G66" s="81" t="s">
        <v>126</v>
      </c>
      <c r="H66" s="82"/>
    </row>
    <row r="67" spans="2:8" ht="63" customHeight="1" x14ac:dyDescent="0.35">
      <c r="B67" s="93" t="s">
        <v>64</v>
      </c>
      <c r="C67" s="93"/>
      <c r="D67" s="36">
        <v>0</v>
      </c>
      <c r="E67" s="15"/>
      <c r="F67" s="21">
        <v>0</v>
      </c>
      <c r="G67" s="81"/>
      <c r="H67" s="82"/>
    </row>
    <row r="68" spans="2:8" ht="68.400000000000006" customHeight="1" x14ac:dyDescent="0.35">
      <c r="B68" s="104" t="s">
        <v>200</v>
      </c>
      <c r="C68" s="102"/>
      <c r="D68" s="105">
        <f>ROUND(IF(SUM(F57:F67)&gt;0,SUM(F57:F67),0),-3)</f>
        <v>27750000</v>
      </c>
      <c r="E68" s="106"/>
      <c r="F68" s="107"/>
      <c r="G68" s="81"/>
      <c r="H68" s="82"/>
    </row>
    <row r="69" spans="2:8" ht="27" customHeight="1" x14ac:dyDescent="0.35">
      <c r="B69" s="40"/>
      <c r="C69" s="40"/>
    </row>
    <row r="70" spans="2:8" ht="44.4" customHeight="1" x14ac:dyDescent="0.35">
      <c r="B70" s="91" t="s">
        <v>67</v>
      </c>
      <c r="C70" s="92"/>
      <c r="D70" s="92"/>
      <c r="E70" s="92"/>
      <c r="F70" s="92"/>
      <c r="G70" s="92"/>
      <c r="H70" s="92"/>
    </row>
    <row r="71" spans="2:8" ht="45.65" customHeight="1" x14ac:dyDescent="0.35">
      <c r="B71" s="87" t="s">
        <v>5</v>
      </c>
      <c r="C71" s="88"/>
      <c r="D71" s="124" t="s">
        <v>15</v>
      </c>
      <c r="E71" s="125"/>
      <c r="F71" s="126"/>
      <c r="G71" s="92" t="s">
        <v>3</v>
      </c>
      <c r="H71" s="92"/>
    </row>
    <row r="72" spans="2:8" ht="64.75" customHeight="1" x14ac:dyDescent="0.35">
      <c r="B72" s="93" t="s">
        <v>218</v>
      </c>
      <c r="C72" s="93"/>
      <c r="D72" s="105">
        <f>F52</f>
        <v>3000000</v>
      </c>
      <c r="E72" s="106"/>
      <c r="F72" s="107"/>
      <c r="G72" s="81"/>
      <c r="H72" s="82"/>
    </row>
    <row r="73" spans="2:8" ht="64.75" customHeight="1" x14ac:dyDescent="0.35">
      <c r="B73" s="93" t="s">
        <v>219</v>
      </c>
      <c r="C73" s="93"/>
      <c r="D73" s="105">
        <f>+F57+F58+F59+F65</f>
        <v>25750000</v>
      </c>
      <c r="E73" s="106"/>
      <c r="F73" s="107"/>
      <c r="G73" s="74"/>
      <c r="H73" s="75"/>
    </row>
    <row r="74" spans="2:8" ht="64.75" customHeight="1" x14ac:dyDescent="0.35">
      <c r="B74" s="89" t="s">
        <v>220</v>
      </c>
      <c r="C74" s="90"/>
      <c r="D74" s="105">
        <f>ROUND(F60+F61+F62+F63+F64+F66+F67,-3)</f>
        <v>2000000</v>
      </c>
      <c r="E74" s="106"/>
      <c r="F74" s="107"/>
      <c r="G74" s="76"/>
      <c r="H74" s="77"/>
    </row>
    <row r="75" spans="2:8" ht="64.75" customHeight="1" x14ac:dyDescent="0.35">
      <c r="B75" s="129" t="s">
        <v>68</v>
      </c>
      <c r="C75" s="93"/>
      <c r="D75" s="105">
        <f>D72+D73+D74</f>
        <v>30750000</v>
      </c>
      <c r="E75" s="106"/>
      <c r="F75" s="107"/>
      <c r="G75" s="81"/>
      <c r="H75" s="82"/>
    </row>
    <row r="76" spans="2:8" ht="27" customHeight="1" x14ac:dyDescent="0.35">
      <c r="B76" s="40"/>
      <c r="C76" s="40"/>
    </row>
    <row r="77" spans="2:8" ht="42" customHeight="1" x14ac:dyDescent="0.35">
      <c r="B77" s="91" t="s">
        <v>320</v>
      </c>
      <c r="C77" s="92"/>
      <c r="D77" s="92"/>
      <c r="E77" s="92"/>
      <c r="F77" s="92"/>
      <c r="G77" s="92"/>
      <c r="H77" s="92"/>
    </row>
    <row r="78" spans="2:8" ht="50.4" customHeight="1" x14ac:dyDescent="0.35">
      <c r="B78" s="87" t="s">
        <v>5</v>
      </c>
      <c r="C78" s="88"/>
      <c r="D78" s="3" t="s">
        <v>198</v>
      </c>
      <c r="E78" s="3" t="s">
        <v>117</v>
      </c>
      <c r="F78" s="3" t="s">
        <v>15</v>
      </c>
      <c r="G78" s="92" t="s">
        <v>3</v>
      </c>
      <c r="H78" s="92"/>
    </row>
    <row r="79" spans="2:8" ht="85.25" customHeight="1" x14ac:dyDescent="0.35">
      <c r="B79" s="89" t="s">
        <v>221</v>
      </c>
      <c r="C79" s="90"/>
      <c r="D79" s="36">
        <v>10000000</v>
      </c>
      <c r="E79" s="15" t="s">
        <v>14</v>
      </c>
      <c r="F79" s="12"/>
      <c r="G79" s="89" t="s">
        <v>199</v>
      </c>
      <c r="H79" s="90"/>
    </row>
    <row r="80" spans="2:8" ht="85.25" customHeight="1" x14ac:dyDescent="0.35">
      <c r="B80" s="89" t="s">
        <v>222</v>
      </c>
      <c r="C80" s="90"/>
      <c r="D80" s="21">
        <f>D79*1%</f>
        <v>100000</v>
      </c>
      <c r="E80" s="21">
        <f>240*B13</f>
        <v>10178880</v>
      </c>
      <c r="F80" s="21">
        <f>ROUND(IF(D80&gt;0,MIN(D80,E80),0),-3)</f>
        <v>100000</v>
      </c>
      <c r="G80" s="89" t="s">
        <v>332</v>
      </c>
      <c r="H80" s="90"/>
    </row>
    <row r="81" spans="2:8" ht="24.65" customHeight="1" x14ac:dyDescent="0.35">
      <c r="B81" s="40"/>
      <c r="C81" s="40"/>
    </row>
    <row r="82" spans="2:8" ht="55.25" customHeight="1" x14ac:dyDescent="0.35">
      <c r="B82" s="91" t="s">
        <v>69</v>
      </c>
      <c r="C82" s="92"/>
      <c r="D82" s="92"/>
      <c r="E82" s="92"/>
      <c r="F82" s="92"/>
      <c r="G82" s="92"/>
      <c r="H82" s="92"/>
    </row>
    <row r="83" spans="2:8" ht="37.25" customHeight="1" x14ac:dyDescent="0.35">
      <c r="B83" s="92" t="s">
        <v>5</v>
      </c>
      <c r="C83" s="92"/>
      <c r="D83" s="92"/>
      <c r="E83" s="3" t="s">
        <v>1</v>
      </c>
      <c r="F83" s="3" t="s">
        <v>15</v>
      </c>
      <c r="G83" s="92" t="s">
        <v>3</v>
      </c>
      <c r="H83" s="92"/>
    </row>
    <row r="84" spans="2:8" ht="115.25" customHeight="1" x14ac:dyDescent="0.35">
      <c r="B84" s="89" t="s">
        <v>20</v>
      </c>
      <c r="C84" s="90"/>
      <c r="D84" s="33">
        <v>12000000</v>
      </c>
      <c r="E84" s="21">
        <f>1200*B13</f>
        <v>50894400</v>
      </c>
      <c r="F84" s="21">
        <f>ROUND(IF(D84&gt;0,MIN(D84,E84),0),-3)</f>
        <v>12000000</v>
      </c>
      <c r="G84" s="89" t="s">
        <v>132</v>
      </c>
      <c r="H84" s="90"/>
    </row>
    <row r="85" spans="2:8" ht="27" customHeight="1" x14ac:dyDescent="0.35">
      <c r="B85" s="40"/>
      <c r="C85" s="40"/>
      <c r="E85" s="37"/>
      <c r="F85" s="37"/>
    </row>
    <row r="86" spans="2:8" ht="58.25" customHeight="1" x14ac:dyDescent="0.35">
      <c r="B86" s="91" t="s">
        <v>70</v>
      </c>
      <c r="C86" s="92"/>
      <c r="D86" s="92"/>
      <c r="E86" s="92"/>
      <c r="F86" s="92"/>
      <c r="G86" s="92"/>
      <c r="H86" s="92"/>
    </row>
    <row r="87" spans="2:8" ht="46.25" customHeight="1" x14ac:dyDescent="0.35">
      <c r="B87" s="87" t="s">
        <v>5</v>
      </c>
      <c r="C87" s="88"/>
      <c r="D87" s="3" t="s">
        <v>127</v>
      </c>
      <c r="E87" s="3" t="s">
        <v>1</v>
      </c>
      <c r="F87" s="3" t="s">
        <v>15</v>
      </c>
      <c r="G87" s="92" t="s">
        <v>3</v>
      </c>
      <c r="H87" s="92"/>
    </row>
    <row r="88" spans="2:8" ht="152.4" customHeight="1" x14ac:dyDescent="0.35">
      <c r="B88" s="101" t="s">
        <v>118</v>
      </c>
      <c r="C88" s="102"/>
      <c r="D88" s="99">
        <v>1</v>
      </c>
      <c r="E88" s="21">
        <f>((12*32)*B13)</f>
        <v>16286208</v>
      </c>
      <c r="F88" s="162">
        <f>IF(D88&lt;=0,0,IF(E89&gt;E88,E88,E89))</f>
        <v>12000000</v>
      </c>
      <c r="G88" s="101" t="s">
        <v>333</v>
      </c>
      <c r="H88" s="102"/>
    </row>
    <row r="89" spans="2:8" ht="131.4" customHeight="1" x14ac:dyDescent="0.35">
      <c r="B89" s="83"/>
      <c r="C89" s="84"/>
      <c r="D89" s="100"/>
      <c r="E89" s="21">
        <f>D32*10%</f>
        <v>12000000</v>
      </c>
      <c r="F89" s="163"/>
      <c r="G89" s="83"/>
      <c r="H89" s="84"/>
    </row>
    <row r="90" spans="2:8" ht="82.25" customHeight="1" x14ac:dyDescent="0.35">
      <c r="B90" s="93" t="s">
        <v>22</v>
      </c>
      <c r="C90" s="93"/>
      <c r="D90" s="36">
        <v>3000000</v>
      </c>
      <c r="E90" s="21">
        <f>192*$B$13</f>
        <v>8143104</v>
      </c>
      <c r="F90" s="23">
        <f>IF(D90&gt;0,MIN(D90,E90),0)</f>
        <v>3000000</v>
      </c>
      <c r="G90" s="89" t="s">
        <v>128</v>
      </c>
      <c r="H90" s="90"/>
    </row>
    <row r="91" spans="2:8" ht="93" customHeight="1" x14ac:dyDescent="0.35">
      <c r="B91" s="89" t="s">
        <v>72</v>
      </c>
      <c r="C91" s="90"/>
      <c r="D91" s="34"/>
      <c r="E91" s="21"/>
      <c r="F91" s="22">
        <f>IF(D91&gt;0,MIN(D91,E91),0)</f>
        <v>0</v>
      </c>
      <c r="G91" s="89" t="s">
        <v>129</v>
      </c>
      <c r="H91" s="90"/>
    </row>
    <row r="92" spans="2:8" ht="72.650000000000006" customHeight="1" x14ac:dyDescent="0.35">
      <c r="B92" s="93" t="s">
        <v>71</v>
      </c>
      <c r="C92" s="93"/>
      <c r="D92" s="35">
        <v>0</v>
      </c>
      <c r="E92" s="21">
        <f>100*B13</f>
        <v>4241200</v>
      </c>
      <c r="F92" s="23">
        <f>IF(D92&gt;0,MIN(D92,E92),0)</f>
        <v>0</v>
      </c>
      <c r="G92" s="89" t="s">
        <v>130</v>
      </c>
      <c r="H92" s="90"/>
    </row>
    <row r="93" spans="2:8" ht="72.650000000000006" customHeight="1" x14ac:dyDescent="0.35">
      <c r="B93" s="93" t="s">
        <v>204</v>
      </c>
      <c r="C93" s="93"/>
      <c r="D93" s="94">
        <f>ROUND(IF(SUM(F88:F92)&gt;0,SUM(F88:F92),0),-3)</f>
        <v>15000000</v>
      </c>
      <c r="E93" s="95"/>
      <c r="F93" s="96"/>
      <c r="G93" s="89"/>
      <c r="H93" s="90"/>
    </row>
    <row r="94" spans="2:8" ht="27" customHeight="1" x14ac:dyDescent="0.35"/>
    <row r="95" spans="2:8" ht="57" customHeight="1" x14ac:dyDescent="0.35">
      <c r="B95" s="91" t="s">
        <v>206</v>
      </c>
      <c r="C95" s="91"/>
      <c r="D95" s="91"/>
      <c r="E95" s="91"/>
      <c r="F95" s="91"/>
      <c r="G95" s="91"/>
      <c r="H95" s="91"/>
    </row>
    <row r="96" spans="2:8" ht="68.400000000000006" customHeight="1" x14ac:dyDescent="0.35">
      <c r="B96" s="92" t="s">
        <v>5</v>
      </c>
      <c r="C96" s="92"/>
      <c r="D96" s="92"/>
      <c r="E96" s="3" t="s">
        <v>1</v>
      </c>
      <c r="F96" s="3" t="s">
        <v>197</v>
      </c>
      <c r="G96" s="92" t="s">
        <v>3</v>
      </c>
      <c r="H96" s="92"/>
    </row>
    <row r="97" spans="2:8" ht="96.65" customHeight="1" x14ac:dyDescent="0.35">
      <c r="B97" s="89" t="s">
        <v>223</v>
      </c>
      <c r="C97" s="97"/>
      <c r="D97" s="90"/>
      <c r="E97" s="49">
        <v>4</v>
      </c>
      <c r="F97" s="49">
        <f>D88</f>
        <v>1</v>
      </c>
      <c r="G97" s="98" t="s">
        <v>328</v>
      </c>
      <c r="H97" s="98"/>
    </row>
    <row r="98" spans="2:8" ht="115.25" customHeight="1" x14ac:dyDescent="0.35">
      <c r="B98" s="89" t="s">
        <v>224</v>
      </c>
      <c r="C98" s="97"/>
      <c r="D98" s="90"/>
      <c r="E98" s="21">
        <f>72*B13*4</f>
        <v>12214656</v>
      </c>
      <c r="F98" s="44">
        <f>ROUND(IF(D88&gt;0,IF((D88*72*B13)&lt;E98,(D88*72*B13),E98)),-3)</f>
        <v>3054000</v>
      </c>
      <c r="G98" s="160" t="s">
        <v>329</v>
      </c>
      <c r="H98" s="161"/>
    </row>
    <row r="99" spans="2:8" ht="27" customHeight="1" x14ac:dyDescent="0.35"/>
    <row r="100" spans="2:8" ht="42.65" customHeight="1" x14ac:dyDescent="0.35">
      <c r="B100" s="91" t="s">
        <v>73</v>
      </c>
      <c r="C100" s="92"/>
      <c r="D100" s="92"/>
      <c r="E100" s="92"/>
      <c r="F100" s="92"/>
      <c r="G100" s="92"/>
      <c r="H100" s="92"/>
    </row>
    <row r="101" spans="2:8" ht="42.65" customHeight="1" x14ac:dyDescent="0.35">
      <c r="B101" s="92" t="s">
        <v>5</v>
      </c>
      <c r="C101" s="92"/>
      <c r="D101" s="92"/>
      <c r="E101" s="3" t="s">
        <v>1</v>
      </c>
      <c r="F101" s="3" t="s">
        <v>15</v>
      </c>
      <c r="G101" s="92" t="s">
        <v>3</v>
      </c>
      <c r="H101" s="92"/>
    </row>
    <row r="102" spans="2:8" ht="64.75" customHeight="1" x14ac:dyDescent="0.35">
      <c r="B102" s="89" t="s">
        <v>225</v>
      </c>
      <c r="C102" s="97"/>
      <c r="D102" s="90"/>
      <c r="E102" s="15" t="s">
        <v>14</v>
      </c>
      <c r="F102" s="21">
        <f>F84</f>
        <v>12000000</v>
      </c>
      <c r="G102" s="81"/>
      <c r="H102" s="82"/>
    </row>
    <row r="103" spans="2:8" ht="64.75" customHeight="1" x14ac:dyDescent="0.35">
      <c r="B103" s="89" t="s">
        <v>226</v>
      </c>
      <c r="C103" s="97"/>
      <c r="D103" s="90"/>
      <c r="E103" s="15" t="s">
        <v>14</v>
      </c>
      <c r="F103" s="21">
        <f>D93</f>
        <v>15000000</v>
      </c>
      <c r="G103" s="81"/>
      <c r="H103" s="82"/>
    </row>
    <row r="104" spans="2:8" ht="64.75" customHeight="1" x14ac:dyDescent="0.35">
      <c r="B104" s="122" t="s">
        <v>74</v>
      </c>
      <c r="C104" s="173"/>
      <c r="D104" s="123"/>
      <c r="E104" s="15" t="s">
        <v>14</v>
      </c>
      <c r="F104" s="21">
        <f>F102+F103</f>
        <v>27000000</v>
      </c>
      <c r="G104" s="81"/>
      <c r="H104" s="82"/>
    </row>
    <row r="105" spans="2:8" ht="27" customHeight="1" x14ac:dyDescent="0.35"/>
    <row r="106" spans="2:8" ht="37.75" customHeight="1" x14ac:dyDescent="0.35">
      <c r="B106" s="91" t="s">
        <v>201</v>
      </c>
      <c r="C106" s="92"/>
      <c r="D106" s="92"/>
      <c r="E106" s="92"/>
      <c r="F106" s="92"/>
      <c r="G106" s="92"/>
      <c r="H106" s="92"/>
    </row>
    <row r="107" spans="2:8" ht="34.25" customHeight="1" x14ac:dyDescent="0.35">
      <c r="B107" s="87" t="s">
        <v>5</v>
      </c>
      <c r="C107" s="88"/>
      <c r="D107" s="3" t="s">
        <v>37</v>
      </c>
      <c r="E107" s="3" t="s">
        <v>1</v>
      </c>
      <c r="F107" s="3" t="s">
        <v>15</v>
      </c>
      <c r="G107" s="92" t="s">
        <v>3</v>
      </c>
      <c r="H107" s="92"/>
    </row>
    <row r="108" spans="2:8" ht="71.400000000000006" customHeight="1" x14ac:dyDescent="0.35">
      <c r="B108" s="122" t="s">
        <v>39</v>
      </c>
      <c r="C108" s="123"/>
      <c r="D108" s="15" t="s">
        <v>14</v>
      </c>
      <c r="E108" s="15" t="s">
        <v>14</v>
      </c>
      <c r="F108" s="27">
        <f>IF((D48-F52-F57-F58-F59-F60-F61-F62-F63-F64-F66-F67-F104)&gt;0,(D48-F52-F57-F58-F59-F60-F61-F62-F63-F64-F66-F67-F104),0)</f>
        <v>71000000</v>
      </c>
      <c r="G108" s="81"/>
      <c r="H108" s="82"/>
    </row>
    <row r="109" spans="2:8" ht="70.75" customHeight="1" x14ac:dyDescent="0.35">
      <c r="B109" s="93" t="s">
        <v>40</v>
      </c>
      <c r="C109" s="93"/>
      <c r="D109" s="18">
        <f>25%*F108</f>
        <v>17750000</v>
      </c>
      <c r="E109" s="25">
        <f>790*B13</f>
        <v>33505480</v>
      </c>
      <c r="F109" s="25">
        <f>ROUND(MIN(D109,E109),-3)</f>
        <v>17750000</v>
      </c>
      <c r="G109" s="89" t="s">
        <v>195</v>
      </c>
      <c r="H109" s="90"/>
    </row>
    <row r="110" spans="2:8" ht="26.4" customHeight="1" x14ac:dyDescent="0.35"/>
    <row r="111" spans="2:8" ht="70.75" customHeight="1" x14ac:dyDescent="0.35">
      <c r="B111" s="91" t="s">
        <v>202</v>
      </c>
      <c r="C111" s="92"/>
      <c r="D111" s="92"/>
      <c r="E111" s="92"/>
      <c r="F111" s="92"/>
      <c r="G111" s="92"/>
      <c r="H111" s="92"/>
    </row>
    <row r="112" spans="2:8" ht="70.75" customHeight="1" x14ac:dyDescent="0.35">
      <c r="B112" s="87" t="s">
        <v>5</v>
      </c>
      <c r="C112" s="88"/>
      <c r="D112" s="3" t="s">
        <v>37</v>
      </c>
      <c r="E112" s="3" t="s">
        <v>1</v>
      </c>
      <c r="F112" s="3" t="s">
        <v>15</v>
      </c>
      <c r="G112" s="92" t="s">
        <v>3</v>
      </c>
      <c r="H112" s="92"/>
    </row>
    <row r="113" spans="2:8" ht="54" customHeight="1" x14ac:dyDescent="0.35">
      <c r="B113" s="101" t="s">
        <v>36</v>
      </c>
      <c r="C113" s="102"/>
      <c r="D113" s="15" t="s">
        <v>14</v>
      </c>
      <c r="E113" s="15" t="s">
        <v>14</v>
      </c>
      <c r="F113" s="18">
        <f>F104+D72+D73</f>
        <v>55750000</v>
      </c>
      <c r="G113" s="89" t="s">
        <v>83</v>
      </c>
      <c r="H113" s="90"/>
    </row>
    <row r="114" spans="2:8" ht="54" customHeight="1" x14ac:dyDescent="0.35">
      <c r="B114" s="101" t="s">
        <v>287</v>
      </c>
      <c r="C114" s="102"/>
      <c r="D114" s="15" t="s">
        <v>14</v>
      </c>
      <c r="E114" s="15" t="s">
        <v>14</v>
      </c>
      <c r="F114" s="20">
        <f>D74</f>
        <v>2000000</v>
      </c>
      <c r="G114" s="89" t="s">
        <v>83</v>
      </c>
      <c r="H114" s="90"/>
    </row>
    <row r="115" spans="2:8" ht="55.75" customHeight="1" x14ac:dyDescent="0.35">
      <c r="B115" s="101" t="s">
        <v>205</v>
      </c>
      <c r="C115" s="102"/>
      <c r="D115" s="127" t="s">
        <v>14</v>
      </c>
      <c r="E115" s="21">
        <f>D48*40%</f>
        <v>44400000</v>
      </c>
      <c r="F115" s="137">
        <f>ROUND(IF((MIN(F113,E115,E116)+F114)&lt;D48,(MIN(F113,E115,E116)+F114),D48),-3)</f>
        <v>46400000</v>
      </c>
      <c r="G115" s="101" t="s">
        <v>304</v>
      </c>
      <c r="H115" s="102"/>
    </row>
    <row r="116" spans="2:8" ht="67.25" customHeight="1" x14ac:dyDescent="0.35">
      <c r="B116" s="81"/>
      <c r="C116" s="82"/>
      <c r="D116" s="128"/>
      <c r="E116" s="21">
        <f>1340*$B$13</f>
        <v>56832080</v>
      </c>
      <c r="F116" s="138"/>
      <c r="G116" s="81"/>
      <c r="H116" s="82"/>
    </row>
    <row r="117" spans="2:8" ht="66" customHeight="1" x14ac:dyDescent="0.35">
      <c r="B117" s="89" t="s">
        <v>38</v>
      </c>
      <c r="C117" s="90"/>
      <c r="D117" s="15" t="s">
        <v>14</v>
      </c>
      <c r="E117" s="15" t="s">
        <v>14</v>
      </c>
      <c r="F117" s="20">
        <f>IF(F113-F115+F114&gt;0,F113-F115+F114,0)</f>
        <v>11350000</v>
      </c>
      <c r="G117" s="89" t="s">
        <v>83</v>
      </c>
      <c r="H117" s="90"/>
    </row>
    <row r="118" spans="2:8" ht="67.75" customHeight="1" x14ac:dyDescent="0.35">
      <c r="B118" s="129" t="s">
        <v>203</v>
      </c>
      <c r="C118" s="129"/>
      <c r="D118" s="21">
        <f>D105+D66+D64+D63+D62</f>
        <v>0</v>
      </c>
      <c r="E118" s="15" t="s">
        <v>14</v>
      </c>
      <c r="F118" s="21">
        <f>F108-F109+F117</f>
        <v>64600000</v>
      </c>
      <c r="G118" s="130"/>
      <c r="H118" s="131"/>
    </row>
    <row r="119" spans="2:8" ht="30" customHeight="1" x14ac:dyDescent="0.35"/>
    <row r="120" spans="2:8" ht="53.4" customHeight="1" x14ac:dyDescent="0.35">
      <c r="B120" s="91" t="s">
        <v>330</v>
      </c>
      <c r="C120" s="92"/>
      <c r="D120" s="92"/>
      <c r="E120" s="92"/>
      <c r="F120" s="92"/>
      <c r="G120" s="92"/>
      <c r="H120" s="92"/>
    </row>
    <row r="121" spans="2:8" ht="39" customHeight="1" x14ac:dyDescent="0.35">
      <c r="B121" s="87" t="s">
        <v>5</v>
      </c>
      <c r="C121" s="88"/>
      <c r="D121" s="62" t="s">
        <v>37</v>
      </c>
      <c r="E121" s="3" t="s">
        <v>1</v>
      </c>
      <c r="F121" s="3" t="s">
        <v>15</v>
      </c>
      <c r="G121" s="92" t="s">
        <v>3</v>
      </c>
      <c r="H121" s="92"/>
    </row>
    <row r="122" spans="2:8" ht="60.65" customHeight="1" x14ac:dyDescent="0.35">
      <c r="B122" s="54" t="s">
        <v>208</v>
      </c>
      <c r="C122" s="59"/>
      <c r="D122" s="15" t="s">
        <v>14</v>
      </c>
      <c r="E122" s="15" t="s">
        <v>14</v>
      </c>
      <c r="F122" s="18">
        <f>F118+F115</f>
        <v>111000000</v>
      </c>
      <c r="G122" s="81" t="s">
        <v>282</v>
      </c>
      <c r="H122" s="82"/>
    </row>
    <row r="123" spans="2:8" ht="60.65" customHeight="1" x14ac:dyDescent="0.35">
      <c r="B123" s="54" t="s">
        <v>207</v>
      </c>
      <c r="C123" s="59"/>
      <c r="D123" s="15" t="s">
        <v>14</v>
      </c>
      <c r="E123" s="15" t="s">
        <v>14</v>
      </c>
      <c r="F123" s="18">
        <f>F115+F98+F80</f>
        <v>49554000</v>
      </c>
      <c r="G123" s="81"/>
      <c r="H123" s="82"/>
    </row>
    <row r="124" spans="2:8" ht="60.65" customHeight="1" x14ac:dyDescent="0.35">
      <c r="B124" s="54" t="s">
        <v>209</v>
      </c>
      <c r="C124" s="59"/>
      <c r="D124" s="15" t="s">
        <v>14</v>
      </c>
      <c r="E124" s="15" t="s">
        <v>14</v>
      </c>
      <c r="F124" s="58">
        <f>IF(F122-F123&gt;0,F122-F123,0)</f>
        <v>61446000</v>
      </c>
      <c r="G124" s="83"/>
      <c r="H124" s="84"/>
    </row>
    <row r="125" spans="2:8" ht="87" customHeight="1" x14ac:dyDescent="0.35">
      <c r="B125" s="183" t="s">
        <v>210</v>
      </c>
      <c r="C125" s="192"/>
      <c r="D125" s="194">
        <v>0</v>
      </c>
      <c r="E125" s="196">
        <f>ROUND(IF((F124-F118)&gt;D125,F124-F118,D125),-3)</f>
        <v>0</v>
      </c>
      <c r="F125" s="198">
        <f>E125</f>
        <v>0</v>
      </c>
      <c r="G125" s="85" t="s">
        <v>281</v>
      </c>
      <c r="H125" s="86"/>
    </row>
    <row r="126" spans="2:8" ht="46.75" customHeight="1" x14ac:dyDescent="0.35">
      <c r="B126" s="185"/>
      <c r="C126" s="193"/>
      <c r="D126" s="195"/>
      <c r="E126" s="197"/>
      <c r="F126" s="199"/>
      <c r="G126" s="189" t="s">
        <v>279</v>
      </c>
      <c r="H126" s="190"/>
    </row>
    <row r="127" spans="2:8" ht="46.75" customHeight="1" x14ac:dyDescent="0.35">
      <c r="B127" s="54" t="s">
        <v>211</v>
      </c>
      <c r="C127" s="59"/>
      <c r="D127" s="35">
        <v>0</v>
      </c>
      <c r="E127" s="60">
        <f>ROUND(IF((F124-F118)&gt;D127,F124-F118,D127),-3)</f>
        <v>0</v>
      </c>
      <c r="F127" s="60">
        <f>E127</f>
        <v>0</v>
      </c>
      <c r="G127" s="81" t="s">
        <v>280</v>
      </c>
      <c r="H127" s="82"/>
    </row>
    <row r="128" spans="2:8" ht="158.4" customHeight="1" x14ac:dyDescent="0.35">
      <c r="B128" s="54" t="s">
        <v>212</v>
      </c>
      <c r="C128" s="59"/>
      <c r="D128" s="35">
        <v>0</v>
      </c>
      <c r="E128" s="15" t="s">
        <v>14</v>
      </c>
      <c r="F128" s="60">
        <f>ROUND(D128,-3)</f>
        <v>0</v>
      </c>
      <c r="G128" s="81" t="s">
        <v>283</v>
      </c>
      <c r="H128" s="82"/>
    </row>
    <row r="129" spans="2:8" ht="46.75" customHeight="1" x14ac:dyDescent="0.35">
      <c r="B129" s="54" t="s">
        <v>213</v>
      </c>
      <c r="C129" s="59"/>
      <c r="D129" s="15" t="s">
        <v>14</v>
      </c>
      <c r="E129" s="15" t="s">
        <v>14</v>
      </c>
      <c r="F129" s="18">
        <f>IF((F124+F128-F125-F127)&gt;0,F124+F128-F125-F127,0)</f>
        <v>61446000</v>
      </c>
      <c r="G129" s="81"/>
      <c r="H129" s="82"/>
    </row>
    <row r="130" spans="2:8" ht="61.25" customHeight="1" x14ac:dyDescent="0.35">
      <c r="B130" s="54" t="s">
        <v>214</v>
      </c>
      <c r="C130" s="59"/>
      <c r="D130" s="35">
        <v>0</v>
      </c>
      <c r="E130" s="61">
        <v>0</v>
      </c>
      <c r="F130" s="18">
        <f>ROUND(D130,-3)</f>
        <v>0</v>
      </c>
      <c r="G130" s="81" t="s">
        <v>284</v>
      </c>
      <c r="H130" s="82"/>
    </row>
    <row r="131" spans="2:8" ht="25.25" customHeight="1" x14ac:dyDescent="0.35">
      <c r="B131" s="46"/>
      <c r="C131" s="46"/>
      <c r="D131" s="46"/>
      <c r="E131" s="46"/>
      <c r="F131" s="47"/>
      <c r="G131" s="10"/>
      <c r="H131" s="10"/>
    </row>
    <row r="132" spans="2:8" ht="43.25" customHeight="1" x14ac:dyDescent="0.35">
      <c r="B132" s="124" t="s">
        <v>215</v>
      </c>
      <c r="C132" s="125"/>
      <c r="D132" s="125"/>
      <c r="E132" s="125"/>
      <c r="F132" s="125"/>
      <c r="G132" s="125"/>
      <c r="H132" s="126"/>
    </row>
    <row r="133" spans="2:8" ht="43.25" customHeight="1" x14ac:dyDescent="0.35">
      <c r="B133" s="92" t="s">
        <v>5</v>
      </c>
      <c r="C133" s="92"/>
      <c r="D133" s="92"/>
      <c r="E133" s="3" t="s">
        <v>1</v>
      </c>
      <c r="F133" s="3" t="s">
        <v>37</v>
      </c>
      <c r="G133" s="132" t="s">
        <v>3</v>
      </c>
      <c r="H133" s="132"/>
    </row>
    <row r="134" spans="2:8" ht="58.25" customHeight="1" x14ac:dyDescent="0.35">
      <c r="B134" s="78" t="s">
        <v>274</v>
      </c>
      <c r="C134" s="109"/>
      <c r="D134" s="36">
        <v>10000000</v>
      </c>
      <c r="E134" s="15" t="s">
        <v>14</v>
      </c>
      <c r="F134" s="18">
        <f>ROUND(D134,-3)</f>
        <v>10000000</v>
      </c>
      <c r="G134" s="85" t="s">
        <v>305</v>
      </c>
      <c r="H134" s="86"/>
    </row>
    <row r="135" spans="2:8" ht="43.25" customHeight="1" x14ac:dyDescent="0.35">
      <c r="B135" s="78" t="s">
        <v>275</v>
      </c>
      <c r="C135" s="109"/>
      <c r="D135" s="36">
        <v>4000000</v>
      </c>
      <c r="E135" s="15" t="s">
        <v>14</v>
      </c>
      <c r="F135" s="18">
        <f>ROUND(D135,-3)</f>
        <v>4000000</v>
      </c>
      <c r="G135" s="177" t="s">
        <v>285</v>
      </c>
      <c r="H135" s="178"/>
    </row>
    <row r="136" spans="2:8" ht="43.25" customHeight="1" x14ac:dyDescent="0.35">
      <c r="B136" s="78" t="s">
        <v>276</v>
      </c>
      <c r="C136" s="109"/>
      <c r="D136" s="36"/>
      <c r="E136" s="15" t="s">
        <v>286</v>
      </c>
      <c r="F136" s="18">
        <f>ROUND(D136,-3)</f>
        <v>0</v>
      </c>
      <c r="G136" s="81" t="s">
        <v>306</v>
      </c>
      <c r="H136" s="82"/>
    </row>
    <row r="137" spans="2:8" ht="43.25" customHeight="1" x14ac:dyDescent="0.35">
      <c r="B137" s="78" t="s">
        <v>277</v>
      </c>
      <c r="C137" s="109"/>
      <c r="D137" s="66"/>
      <c r="E137" s="15" t="s">
        <v>14</v>
      </c>
      <c r="F137" s="21">
        <f>IF((F134-F135-F136)&gt;0,(F134-F135-F136),0)</f>
        <v>6000000</v>
      </c>
      <c r="G137" s="81"/>
      <c r="H137" s="82"/>
    </row>
    <row r="138" spans="2:8" ht="25.25" customHeight="1" x14ac:dyDescent="0.35">
      <c r="B138" s="46"/>
      <c r="C138" s="46"/>
      <c r="D138" s="46"/>
      <c r="E138" s="46"/>
      <c r="F138" s="47"/>
      <c r="G138" s="10"/>
      <c r="H138" s="10"/>
    </row>
    <row r="139" spans="2:8" ht="55.25" customHeight="1" x14ac:dyDescent="0.35">
      <c r="B139" s="124" t="s">
        <v>228</v>
      </c>
      <c r="C139" s="125"/>
      <c r="D139" s="125"/>
      <c r="E139" s="125"/>
      <c r="F139" s="125"/>
      <c r="G139" s="125"/>
      <c r="H139" s="126"/>
    </row>
    <row r="140" spans="2:8" ht="25.25" customHeight="1" x14ac:dyDescent="0.35">
      <c r="B140" s="92" t="s">
        <v>5</v>
      </c>
      <c r="C140" s="92"/>
      <c r="D140" s="92"/>
      <c r="E140" s="3" t="s">
        <v>1</v>
      </c>
      <c r="F140" s="3" t="s">
        <v>15</v>
      </c>
      <c r="G140" s="92" t="s">
        <v>3</v>
      </c>
      <c r="H140" s="92"/>
    </row>
    <row r="141" spans="2:8" ht="42.65" customHeight="1" x14ac:dyDescent="0.35">
      <c r="B141" s="78" t="s">
        <v>227</v>
      </c>
      <c r="C141" s="79"/>
      <c r="D141" s="80"/>
      <c r="E141" s="15" t="s">
        <v>14</v>
      </c>
      <c r="F141" s="21">
        <f>F129</f>
        <v>61446000</v>
      </c>
      <c r="G141" s="81"/>
      <c r="H141" s="82"/>
    </row>
    <row r="142" spans="2:8" ht="55.25" customHeight="1" x14ac:dyDescent="0.35">
      <c r="B142" s="78" t="s">
        <v>230</v>
      </c>
      <c r="C142" s="79"/>
      <c r="D142" s="80"/>
      <c r="E142" s="15" t="s">
        <v>14</v>
      </c>
      <c r="F142" s="21">
        <f>IF(F129&gt;F130,MAX(I154:I159),0)</f>
        <v>2891000</v>
      </c>
      <c r="G142" s="81"/>
      <c r="H142" s="82"/>
    </row>
    <row r="143" spans="2:8" ht="43.25" customHeight="1" x14ac:dyDescent="0.35">
      <c r="B143" s="78" t="s">
        <v>229</v>
      </c>
      <c r="C143" s="79"/>
      <c r="D143" s="80"/>
      <c r="E143" s="15" t="s">
        <v>14</v>
      </c>
      <c r="F143" s="21">
        <f>F142</f>
        <v>2891000</v>
      </c>
      <c r="G143" s="81" t="s">
        <v>273</v>
      </c>
      <c r="H143" s="82"/>
    </row>
    <row r="144" spans="2:8" ht="25.25" customHeight="1" x14ac:dyDescent="0.35">
      <c r="B144" s="46"/>
      <c r="C144" s="46"/>
      <c r="D144" s="46"/>
      <c r="E144" s="46"/>
      <c r="F144" s="47"/>
      <c r="G144" s="10"/>
      <c r="H144" s="10"/>
    </row>
    <row r="145" spans="2:9" ht="40.25" customHeight="1" x14ac:dyDescent="0.35">
      <c r="B145" s="146" t="s">
        <v>237</v>
      </c>
      <c r="C145" s="147"/>
      <c r="D145" s="147"/>
      <c r="E145" s="148"/>
      <c r="F145" s="47"/>
      <c r="G145" s="10"/>
      <c r="H145" s="10"/>
    </row>
    <row r="146" spans="2:9" ht="25.25" customHeight="1" x14ac:dyDescent="0.35">
      <c r="B146" s="143" t="s">
        <v>5</v>
      </c>
      <c r="C146" s="144"/>
      <c r="D146" s="145"/>
      <c r="E146" s="28" t="s">
        <v>9</v>
      </c>
      <c r="F146" s="47"/>
      <c r="G146" s="10"/>
      <c r="H146" s="10"/>
    </row>
    <row r="147" spans="2:9" ht="25.25" customHeight="1" x14ac:dyDescent="0.35">
      <c r="B147" s="150" t="s">
        <v>238</v>
      </c>
      <c r="C147" s="151"/>
      <c r="D147" s="152"/>
      <c r="E147" s="29">
        <f>F141</f>
        <v>61446000</v>
      </c>
      <c r="F147" s="47"/>
      <c r="G147" s="10"/>
      <c r="H147" s="10"/>
    </row>
    <row r="148" spans="2:9" ht="25.25" customHeight="1" x14ac:dyDescent="0.35">
      <c r="B148" s="150" t="s">
        <v>239</v>
      </c>
      <c r="C148" s="151"/>
      <c r="D148" s="152"/>
      <c r="E148" s="64">
        <f>E147/B13</f>
        <v>1448.7880788456098</v>
      </c>
      <c r="F148" s="47"/>
      <c r="G148" s="10"/>
      <c r="H148" s="10"/>
    </row>
    <row r="149" spans="2:9" ht="25.25" customHeight="1" x14ac:dyDescent="0.35">
      <c r="B149" s="31"/>
      <c r="F149" s="47"/>
      <c r="G149" s="10"/>
      <c r="H149" s="10"/>
    </row>
    <row r="150" spans="2:9" ht="25.25" customHeight="1" x14ac:dyDescent="0.35">
      <c r="B150" s="46"/>
      <c r="C150" s="46"/>
      <c r="D150" s="46"/>
      <c r="E150" s="46"/>
      <c r="F150" s="47"/>
      <c r="G150" s="10"/>
      <c r="H150" s="10"/>
    </row>
    <row r="151" spans="2:9" ht="46.25" customHeight="1" x14ac:dyDescent="0.35">
      <c r="B151" s="92" t="s">
        <v>107</v>
      </c>
      <c r="C151" s="92"/>
      <c r="D151" s="92"/>
      <c r="E151" s="92"/>
      <c r="F151" s="92"/>
      <c r="G151" s="92"/>
      <c r="H151" s="92"/>
      <c r="I151" s="92"/>
    </row>
    <row r="152" spans="2:9" ht="45" customHeight="1" x14ac:dyDescent="0.35">
      <c r="B152" s="3" t="s">
        <v>241</v>
      </c>
      <c r="C152" s="3" t="s">
        <v>240</v>
      </c>
      <c r="D152" s="3" t="s">
        <v>6</v>
      </c>
      <c r="E152" s="3" t="s">
        <v>10</v>
      </c>
      <c r="F152" s="91" t="s">
        <v>242</v>
      </c>
      <c r="G152" s="91"/>
      <c r="H152" s="91"/>
      <c r="I152" s="3" t="s">
        <v>243</v>
      </c>
    </row>
    <row r="153" spans="2:9" ht="33" customHeight="1" x14ac:dyDescent="0.35">
      <c r="B153" s="48" t="s">
        <v>7</v>
      </c>
      <c r="C153" s="48">
        <v>1090</v>
      </c>
      <c r="D153" s="48">
        <v>0</v>
      </c>
      <c r="E153" s="48"/>
      <c r="F153" s="142"/>
      <c r="G153" s="142"/>
      <c r="H153" s="142"/>
      <c r="I153" s="12"/>
    </row>
    <row r="154" spans="2:9" ht="33" customHeight="1" x14ac:dyDescent="0.35">
      <c r="B154" s="48">
        <f t="shared" ref="B154:B159" si="0">C153</f>
        <v>1090</v>
      </c>
      <c r="C154" s="48">
        <v>1700</v>
      </c>
      <c r="D154" s="50">
        <v>0.19</v>
      </c>
      <c r="E154" s="51">
        <v>0</v>
      </c>
      <c r="F154" s="149" t="s">
        <v>231</v>
      </c>
      <c r="G154" s="149"/>
      <c r="H154" s="149"/>
      <c r="I154" s="52">
        <f>IF(AND(E148&gt;B154,E148&lt;=C154),ROUND(((((E148-B154)*D154)*B13)+E154*B13),-3),0)</f>
        <v>2891000</v>
      </c>
    </row>
    <row r="155" spans="2:9" ht="33" customHeight="1" x14ac:dyDescent="0.35">
      <c r="B155" s="48">
        <f t="shared" si="0"/>
        <v>1700</v>
      </c>
      <c r="C155" s="48">
        <v>4100</v>
      </c>
      <c r="D155" s="50">
        <v>0.28000000000000003</v>
      </c>
      <c r="E155" s="51">
        <v>116</v>
      </c>
      <c r="F155" s="149" t="s">
        <v>232</v>
      </c>
      <c r="G155" s="149"/>
      <c r="H155" s="149"/>
      <c r="I155" s="52">
        <f>IF(AND(E148&gt;B155,E148&lt;=C155),ROUND(((((E148-B155)*D155)*B13)+E155*B13),-3),0)</f>
        <v>0</v>
      </c>
    </row>
    <row r="156" spans="2:9" ht="33" customHeight="1" x14ac:dyDescent="0.35">
      <c r="B156" s="48">
        <f t="shared" si="0"/>
        <v>4100</v>
      </c>
      <c r="C156" s="48">
        <v>8670</v>
      </c>
      <c r="D156" s="50">
        <v>0.33</v>
      </c>
      <c r="E156" s="51">
        <v>788</v>
      </c>
      <c r="F156" s="149" t="s">
        <v>236</v>
      </c>
      <c r="G156" s="149"/>
      <c r="H156" s="149"/>
      <c r="I156" s="52">
        <f>IF(AND(E148&gt;B156,E148&lt;=C156),ROUND(((((E148-B156)*D156)*B13)+E156*B13),-3),0)</f>
        <v>0</v>
      </c>
    </row>
    <row r="157" spans="2:9" ht="33" customHeight="1" x14ac:dyDescent="0.35">
      <c r="B157" s="48">
        <f t="shared" si="0"/>
        <v>8670</v>
      </c>
      <c r="C157" s="48">
        <v>18970</v>
      </c>
      <c r="D157" s="50">
        <v>0.35</v>
      </c>
      <c r="E157" s="51">
        <v>2296</v>
      </c>
      <c r="F157" s="149" t="s">
        <v>235</v>
      </c>
      <c r="G157" s="149"/>
      <c r="H157" s="149"/>
      <c r="I157" s="52">
        <f>IF(AND(E148&gt;B157,E148&lt;=C157),ROUND(((((E148-B157)*D157)*B13)+E157*B13),-3),0)</f>
        <v>0</v>
      </c>
    </row>
    <row r="158" spans="2:9" ht="33" customHeight="1" x14ac:dyDescent="0.35">
      <c r="B158" s="48">
        <f t="shared" si="0"/>
        <v>18970</v>
      </c>
      <c r="C158" s="48">
        <v>31000</v>
      </c>
      <c r="D158" s="50">
        <v>0.37</v>
      </c>
      <c r="E158" s="51">
        <v>5901</v>
      </c>
      <c r="F158" s="149" t="s">
        <v>234</v>
      </c>
      <c r="G158" s="149"/>
      <c r="H158" s="149"/>
      <c r="I158" s="52">
        <f>IF(AND(E148&gt;B158,E148&lt;=C158),ROUND(((((E148-B158)*D158)*B13)+E158*B13),-3),0)</f>
        <v>0</v>
      </c>
    </row>
    <row r="159" spans="2:9" ht="33" customHeight="1" x14ac:dyDescent="0.35">
      <c r="B159" s="48">
        <f t="shared" si="0"/>
        <v>31000</v>
      </c>
      <c r="C159" s="48" t="s">
        <v>8</v>
      </c>
      <c r="D159" s="50">
        <v>0.39</v>
      </c>
      <c r="E159" s="51">
        <v>10352</v>
      </c>
      <c r="F159" s="149" t="s">
        <v>233</v>
      </c>
      <c r="G159" s="149"/>
      <c r="H159" s="149"/>
      <c r="I159" s="52">
        <f>IF(E148&gt;B159,ROUND(((((E148-B159)*D159)*B13)+E159*B13),-3),0)</f>
        <v>0</v>
      </c>
    </row>
    <row r="160" spans="2:9" ht="33" customHeight="1" x14ac:dyDescent="0.35">
      <c r="B160" s="46"/>
      <c r="C160" s="46"/>
      <c r="D160" s="46"/>
      <c r="E160" s="46"/>
      <c r="F160" s="47"/>
      <c r="G160" s="10"/>
      <c r="H160" s="10"/>
    </row>
    <row r="161" spans="1:11" ht="61.25" customHeight="1" x14ac:dyDescent="0.35">
      <c r="B161" s="124" t="s">
        <v>244</v>
      </c>
      <c r="C161" s="125"/>
      <c r="D161" s="125"/>
      <c r="E161" s="125"/>
      <c r="F161" s="125"/>
      <c r="G161" s="125"/>
      <c r="H161" s="126"/>
    </row>
    <row r="162" spans="1:11" ht="25.25" customHeight="1" x14ac:dyDescent="0.35">
      <c r="B162" s="92" t="s">
        <v>5</v>
      </c>
      <c r="C162" s="92"/>
      <c r="D162" s="92"/>
      <c r="E162" s="3" t="s">
        <v>1</v>
      </c>
      <c r="F162" s="3" t="s">
        <v>37</v>
      </c>
      <c r="G162" s="132" t="s">
        <v>3</v>
      </c>
      <c r="H162" s="132"/>
    </row>
    <row r="163" spans="1:11" ht="48" customHeight="1" x14ac:dyDescent="0.35">
      <c r="B163" s="54" t="s">
        <v>245</v>
      </c>
      <c r="C163" s="59"/>
      <c r="D163" s="36">
        <v>0</v>
      </c>
      <c r="E163" s="15" t="s">
        <v>14</v>
      </c>
      <c r="F163" s="21">
        <f>ROUND(D163,-3)</f>
        <v>0</v>
      </c>
      <c r="G163" s="85" t="s">
        <v>290</v>
      </c>
      <c r="H163" s="86"/>
    </row>
    <row r="164" spans="1:11" ht="48" customHeight="1" x14ac:dyDescent="0.35">
      <c r="B164" s="54" t="s">
        <v>246</v>
      </c>
      <c r="C164" s="59"/>
      <c r="D164" s="36">
        <v>0</v>
      </c>
      <c r="E164" s="15" t="s">
        <v>286</v>
      </c>
      <c r="F164" s="21">
        <f>ROUND(D164,-3)</f>
        <v>0</v>
      </c>
      <c r="G164" s="133" t="s">
        <v>272</v>
      </c>
      <c r="H164" s="134"/>
    </row>
    <row r="165" spans="1:11" ht="51" customHeight="1" x14ac:dyDescent="0.35">
      <c r="B165" s="54" t="s">
        <v>288</v>
      </c>
      <c r="C165" s="59"/>
      <c r="D165" s="36">
        <v>0</v>
      </c>
      <c r="E165" s="15" t="s">
        <v>14</v>
      </c>
      <c r="F165" s="21">
        <f>ROUND(D165,-3)</f>
        <v>0</v>
      </c>
      <c r="G165" s="135"/>
      <c r="H165" s="136"/>
    </row>
    <row r="166" spans="1:11" ht="71.400000000000006" customHeight="1" x14ac:dyDescent="0.35">
      <c r="B166" s="54" t="s">
        <v>247</v>
      </c>
      <c r="C166" s="59"/>
      <c r="D166" s="65"/>
      <c r="E166" s="38" t="s">
        <v>289</v>
      </c>
      <c r="F166" s="21">
        <f>F163+F164+F165</f>
        <v>0</v>
      </c>
      <c r="G166" s="81" t="s">
        <v>307</v>
      </c>
      <c r="H166" s="82"/>
    </row>
    <row r="167" spans="1:11" ht="25.25" customHeight="1" x14ac:dyDescent="0.35">
      <c r="B167" s="46"/>
      <c r="C167" s="46"/>
      <c r="D167" s="46"/>
      <c r="E167" s="46"/>
      <c r="F167" s="47"/>
      <c r="G167" s="10"/>
      <c r="H167" s="10"/>
    </row>
    <row r="168" spans="1:11" ht="48" customHeight="1" x14ac:dyDescent="0.35">
      <c r="B168" s="124" t="s">
        <v>251</v>
      </c>
      <c r="C168" s="125"/>
      <c r="D168" s="125"/>
      <c r="E168" s="125"/>
      <c r="F168" s="125"/>
      <c r="G168" s="125"/>
      <c r="H168" s="126"/>
    </row>
    <row r="169" spans="1:11" ht="36" customHeight="1" x14ac:dyDescent="0.35">
      <c r="B169" s="87" t="s">
        <v>5</v>
      </c>
      <c r="C169" s="88"/>
      <c r="D169" s="11" t="s">
        <v>37</v>
      </c>
      <c r="E169" s="3" t="s">
        <v>1</v>
      </c>
      <c r="F169" s="3" t="s">
        <v>37</v>
      </c>
      <c r="G169" s="92" t="s">
        <v>3</v>
      </c>
      <c r="H169" s="92"/>
    </row>
    <row r="170" spans="1:11" ht="47.4" customHeight="1" x14ac:dyDescent="0.35">
      <c r="B170" s="78" t="s">
        <v>249</v>
      </c>
      <c r="C170" s="109"/>
      <c r="D170" s="56" t="s">
        <v>14</v>
      </c>
      <c r="E170" s="56" t="s">
        <v>14</v>
      </c>
      <c r="F170" s="73">
        <f>IF((F143-F166)&gt;0,F143-F166,0)</f>
        <v>2891000</v>
      </c>
      <c r="G170" s="93"/>
      <c r="H170" s="93"/>
    </row>
    <row r="171" spans="1:11" ht="57" customHeight="1" x14ac:dyDescent="0.35">
      <c r="A171" s="2"/>
      <c r="B171" s="78" t="s">
        <v>250</v>
      </c>
      <c r="C171" s="109"/>
      <c r="D171" s="56" t="s">
        <v>14</v>
      </c>
      <c r="E171" s="53">
        <v>0.15</v>
      </c>
      <c r="F171" s="21">
        <f>ROUND(F137*E171,-3)</f>
        <v>900000</v>
      </c>
      <c r="G171" s="93" t="s">
        <v>278</v>
      </c>
      <c r="H171" s="93"/>
      <c r="I171" s="4"/>
      <c r="J171" s="4"/>
      <c r="K171" s="2"/>
    </row>
    <row r="172" spans="1:11" ht="57" customHeight="1" x14ac:dyDescent="0.35">
      <c r="A172" s="2"/>
      <c r="B172" s="78" t="s">
        <v>252</v>
      </c>
      <c r="C172" s="109"/>
      <c r="D172" s="57">
        <v>0</v>
      </c>
      <c r="E172" s="56" t="s">
        <v>14</v>
      </c>
      <c r="F172" s="45">
        <f>D172</f>
        <v>0</v>
      </c>
      <c r="G172" s="93" t="s">
        <v>271</v>
      </c>
      <c r="H172" s="93"/>
      <c r="I172" s="4"/>
      <c r="J172" s="4"/>
      <c r="K172" s="2"/>
    </row>
    <row r="173" spans="1:11" ht="57" customHeight="1" x14ac:dyDescent="0.35">
      <c r="A173" s="2"/>
      <c r="B173" s="78" t="s">
        <v>253</v>
      </c>
      <c r="C173" s="109"/>
      <c r="D173" s="65"/>
      <c r="E173" s="56" t="s">
        <v>14</v>
      </c>
      <c r="F173" s="73">
        <f>F170+F171-F172</f>
        <v>3791000</v>
      </c>
      <c r="G173" s="93"/>
      <c r="H173" s="93"/>
      <c r="I173" s="4"/>
      <c r="J173" s="4"/>
      <c r="K173" s="2"/>
    </row>
    <row r="174" spans="1:11" ht="20.399999999999999" customHeight="1" x14ac:dyDescent="0.35">
      <c r="A174" s="2"/>
      <c r="B174" s="4"/>
      <c r="C174" s="4"/>
      <c r="D174" s="4"/>
      <c r="E174" s="4"/>
      <c r="F174" s="4"/>
      <c r="G174" s="4"/>
      <c r="H174" s="4"/>
      <c r="I174" s="4"/>
      <c r="J174" s="4"/>
      <c r="K174" s="2"/>
    </row>
    <row r="175" spans="1:11" ht="49.75" customHeight="1" x14ac:dyDescent="0.35">
      <c r="B175" s="124" t="s">
        <v>254</v>
      </c>
      <c r="C175" s="125"/>
      <c r="D175" s="125"/>
      <c r="E175" s="125"/>
      <c r="F175" s="125"/>
      <c r="G175" s="125"/>
      <c r="H175" s="126"/>
    </row>
    <row r="176" spans="1:11" ht="33" customHeight="1" x14ac:dyDescent="0.35">
      <c r="B176" s="87" t="s">
        <v>5</v>
      </c>
      <c r="C176" s="88"/>
      <c r="D176" s="11" t="s">
        <v>37</v>
      </c>
      <c r="E176" s="3" t="s">
        <v>1</v>
      </c>
      <c r="F176" s="3" t="s">
        <v>37</v>
      </c>
      <c r="G176" s="92" t="s">
        <v>3</v>
      </c>
      <c r="H176" s="92"/>
    </row>
    <row r="177" spans="2:8" ht="63" customHeight="1" x14ac:dyDescent="0.35">
      <c r="B177" s="78" t="s">
        <v>255</v>
      </c>
      <c r="C177" s="109"/>
      <c r="D177" s="67">
        <v>4000000</v>
      </c>
      <c r="E177" s="15" t="s">
        <v>14</v>
      </c>
      <c r="F177" s="45">
        <f>ROUND(D177,-3)</f>
        <v>4000000</v>
      </c>
      <c r="G177" s="89" t="s">
        <v>258</v>
      </c>
      <c r="H177" s="90"/>
    </row>
    <row r="178" spans="2:8" ht="63" customHeight="1" x14ac:dyDescent="0.35">
      <c r="B178" s="78" t="s">
        <v>256</v>
      </c>
      <c r="C178" s="109"/>
      <c r="D178" s="67">
        <v>60000</v>
      </c>
      <c r="E178" s="15" t="s">
        <v>14</v>
      </c>
      <c r="F178" s="45">
        <f>ROUND(D178,-3)</f>
        <v>60000</v>
      </c>
      <c r="G178" s="89" t="s">
        <v>257</v>
      </c>
      <c r="H178" s="90"/>
    </row>
    <row r="179" spans="2:8" ht="63" customHeight="1" x14ac:dyDescent="0.35">
      <c r="B179" s="78" t="s">
        <v>259</v>
      </c>
      <c r="C179" s="109"/>
      <c r="D179" s="67">
        <v>1000000</v>
      </c>
      <c r="E179" s="55" t="s">
        <v>14</v>
      </c>
      <c r="F179" s="68">
        <f>ROUND(D179,-3)</f>
        <v>1000000</v>
      </c>
      <c r="G179" s="101" t="s">
        <v>309</v>
      </c>
      <c r="H179" s="102"/>
    </row>
    <row r="180" spans="2:8" ht="51.65" customHeight="1" x14ac:dyDescent="0.35">
      <c r="B180" s="183" t="s">
        <v>261</v>
      </c>
      <c r="C180" s="192"/>
      <c r="D180" s="181">
        <v>1100000</v>
      </c>
      <c r="E180" s="176" t="s">
        <v>14</v>
      </c>
      <c r="F180" s="191">
        <f>ROUND(D180,-3)</f>
        <v>1100000</v>
      </c>
      <c r="G180" s="85" t="s">
        <v>308</v>
      </c>
      <c r="H180" s="86"/>
    </row>
    <row r="181" spans="2:8" ht="34.75" customHeight="1" x14ac:dyDescent="0.35">
      <c r="B181" s="185"/>
      <c r="C181" s="193"/>
      <c r="D181" s="200"/>
      <c r="E181" s="176"/>
      <c r="F181" s="191"/>
      <c r="G181" s="189" t="s">
        <v>262</v>
      </c>
      <c r="H181" s="190"/>
    </row>
    <row r="182" spans="2:8" ht="25.25" customHeight="1" x14ac:dyDescent="0.35"/>
    <row r="183" spans="2:8" ht="39" customHeight="1" x14ac:dyDescent="0.35">
      <c r="B183" s="124" t="s">
        <v>268</v>
      </c>
      <c r="C183" s="125"/>
      <c r="D183" s="125"/>
      <c r="E183" s="125"/>
      <c r="F183" s="125"/>
      <c r="G183" s="125"/>
      <c r="H183" s="126"/>
    </row>
    <row r="184" spans="2:8" ht="55.75" customHeight="1" x14ac:dyDescent="0.35">
      <c r="B184" s="92" t="s">
        <v>5</v>
      </c>
      <c r="C184" s="92"/>
      <c r="D184" s="92"/>
      <c r="E184" s="3" t="s">
        <v>1</v>
      </c>
      <c r="F184" s="3" t="s">
        <v>37</v>
      </c>
      <c r="G184" s="92" t="s">
        <v>3</v>
      </c>
      <c r="H184" s="92"/>
    </row>
    <row r="185" spans="2:8" ht="53.4" customHeight="1" x14ac:dyDescent="0.35">
      <c r="B185" s="78" t="s">
        <v>263</v>
      </c>
      <c r="C185" s="108"/>
      <c r="D185" s="15" t="s">
        <v>14</v>
      </c>
      <c r="E185" s="56" t="s">
        <v>14</v>
      </c>
      <c r="F185" s="21">
        <f>IF((F173+F180-F177-F178-F179)&gt;0,(F173+F180-F177-F178-F179),0)</f>
        <v>0</v>
      </c>
      <c r="G185" s="89"/>
      <c r="H185" s="90"/>
    </row>
    <row r="186" spans="2:8" ht="61.25" customHeight="1" x14ac:dyDescent="0.35">
      <c r="B186" s="183" t="s">
        <v>264</v>
      </c>
      <c r="C186" s="184"/>
      <c r="D186" s="201">
        <v>0</v>
      </c>
      <c r="E186" s="176">
        <f>ROUND(47065*10,-3)</f>
        <v>471000</v>
      </c>
      <c r="F186" s="181">
        <f>MIN(D186,E186)</f>
        <v>0</v>
      </c>
      <c r="G186" s="89" t="s">
        <v>310</v>
      </c>
      <c r="H186" s="90"/>
    </row>
    <row r="187" spans="2:8" ht="28.25" customHeight="1" x14ac:dyDescent="0.35">
      <c r="B187" s="202"/>
      <c r="C187" s="203"/>
      <c r="D187" s="201"/>
      <c r="E187" s="176"/>
      <c r="F187" s="182"/>
      <c r="G187" s="179" t="s">
        <v>269</v>
      </c>
      <c r="H187" s="180"/>
    </row>
    <row r="188" spans="2:8" ht="28.25" customHeight="1" x14ac:dyDescent="0.35">
      <c r="B188" s="185"/>
      <c r="C188" s="186"/>
      <c r="D188" s="201"/>
      <c r="E188" s="176"/>
      <c r="F188" s="182"/>
      <c r="G188" s="179" t="s">
        <v>270</v>
      </c>
      <c r="H188" s="180"/>
    </row>
    <row r="189" spans="2:8" ht="49.25" customHeight="1" x14ac:dyDescent="0.35">
      <c r="B189" s="78" t="s">
        <v>265</v>
      </c>
      <c r="C189" s="108"/>
      <c r="D189" s="15" t="s">
        <v>14</v>
      </c>
      <c r="E189" s="55" t="s">
        <v>14</v>
      </c>
      <c r="F189" s="69">
        <f>IF((F173+F180+F186-F177-F178-F179)&gt;0,(F173+F180+F186-F177-F178-F179),0)</f>
        <v>0</v>
      </c>
      <c r="G189" s="89" t="s">
        <v>260</v>
      </c>
      <c r="H189" s="90"/>
    </row>
    <row r="190" spans="2:8" ht="32.4" customHeight="1" x14ac:dyDescent="0.35">
      <c r="B190" s="183" t="s">
        <v>266</v>
      </c>
      <c r="C190" s="184"/>
      <c r="D190" s="187" t="s">
        <v>14</v>
      </c>
      <c r="E190" s="176" t="s">
        <v>14</v>
      </c>
      <c r="F190" s="188">
        <f>IF((F177+F178+F179-F173-F180-F186)&gt;0,(F177+F178+F179-F173-F180-F186),0)</f>
        <v>169000</v>
      </c>
      <c r="G190" s="74"/>
      <c r="H190" s="75"/>
    </row>
    <row r="191" spans="2:8" ht="32.4" customHeight="1" x14ac:dyDescent="0.35">
      <c r="B191" s="185"/>
      <c r="C191" s="186"/>
      <c r="D191" s="187"/>
      <c r="E191" s="176"/>
      <c r="F191" s="188"/>
      <c r="G191" s="76"/>
      <c r="H191" s="77"/>
    </row>
    <row r="192" spans="2:8" ht="55.75" customHeight="1" x14ac:dyDescent="0.35">
      <c r="B192" s="78" t="s">
        <v>267</v>
      </c>
      <c r="C192" s="108"/>
      <c r="D192" s="67">
        <v>1000000</v>
      </c>
      <c r="E192" s="56" t="s">
        <v>14</v>
      </c>
      <c r="F192" s="70">
        <f>ROUND(D192,-3)</f>
        <v>1000000</v>
      </c>
      <c r="G192" s="93" t="s">
        <v>311</v>
      </c>
      <c r="H192" s="93"/>
    </row>
    <row r="193" spans="2:8" ht="15" customHeight="1" x14ac:dyDescent="0.35">
      <c r="B193" s="13"/>
    </row>
    <row r="194" spans="2:8" ht="15" customHeight="1" x14ac:dyDescent="0.35">
      <c r="B194" s="13"/>
    </row>
    <row r="195" spans="2:8" ht="52.25" customHeight="1" x14ac:dyDescent="0.35">
      <c r="B195" s="91" t="s">
        <v>183</v>
      </c>
      <c r="C195" s="92"/>
      <c r="D195" s="92"/>
      <c r="E195" s="92"/>
      <c r="F195" s="92"/>
      <c r="G195" s="92"/>
      <c r="H195" s="92"/>
    </row>
    <row r="196" spans="2:8" ht="36" customHeight="1" x14ac:dyDescent="0.35">
      <c r="B196" s="92" t="s">
        <v>5</v>
      </c>
      <c r="C196" s="92"/>
      <c r="D196" s="92"/>
      <c r="E196" s="3" t="s">
        <v>134</v>
      </c>
      <c r="F196" s="3" t="s">
        <v>133</v>
      </c>
      <c r="G196" s="92" t="s">
        <v>3</v>
      </c>
      <c r="H196" s="92"/>
    </row>
    <row r="197" spans="2:8" ht="36" customHeight="1" x14ac:dyDescent="0.35">
      <c r="B197" s="89" t="s">
        <v>166</v>
      </c>
      <c r="C197" s="97"/>
      <c r="D197" s="90"/>
      <c r="E197" s="15" t="s">
        <v>14</v>
      </c>
      <c r="F197" s="18">
        <f>SUM(E198:E204)</f>
        <v>5000000</v>
      </c>
      <c r="G197" s="81"/>
      <c r="H197" s="82"/>
    </row>
    <row r="198" spans="2:8" ht="39" customHeight="1" x14ac:dyDescent="0.35">
      <c r="B198" s="153" t="s">
        <v>167</v>
      </c>
      <c r="C198" s="154"/>
      <c r="D198" s="155"/>
      <c r="E198" s="36">
        <v>0</v>
      </c>
      <c r="F198" s="127"/>
      <c r="G198" s="101" t="s">
        <v>184</v>
      </c>
      <c r="H198" s="102"/>
    </row>
    <row r="199" spans="2:8" ht="39" customHeight="1" x14ac:dyDescent="0.35">
      <c r="B199" s="153" t="s">
        <v>135</v>
      </c>
      <c r="C199" s="154"/>
      <c r="D199" s="155"/>
      <c r="E199" s="36">
        <v>5000000</v>
      </c>
      <c r="F199" s="166"/>
      <c r="G199" s="83"/>
      <c r="H199" s="84"/>
    </row>
    <row r="200" spans="2:8" ht="39" customHeight="1" x14ac:dyDescent="0.35">
      <c r="B200" s="153" t="s">
        <v>136</v>
      </c>
      <c r="C200" s="154"/>
      <c r="D200" s="155"/>
      <c r="E200" s="36">
        <v>0</v>
      </c>
      <c r="F200" s="166"/>
      <c r="G200" s="83"/>
      <c r="H200" s="84"/>
    </row>
    <row r="201" spans="2:8" ht="39" customHeight="1" x14ac:dyDescent="0.35">
      <c r="B201" s="153" t="s">
        <v>137</v>
      </c>
      <c r="C201" s="154"/>
      <c r="D201" s="155"/>
      <c r="E201" s="36">
        <v>0</v>
      </c>
      <c r="F201" s="166"/>
      <c r="G201" s="83"/>
      <c r="H201" s="84"/>
    </row>
    <row r="202" spans="2:8" ht="39" customHeight="1" x14ac:dyDescent="0.35">
      <c r="B202" s="153" t="s">
        <v>138</v>
      </c>
      <c r="C202" s="154"/>
      <c r="D202" s="155"/>
      <c r="E202" s="36">
        <v>0</v>
      </c>
      <c r="F202" s="166"/>
      <c r="G202" s="83"/>
      <c r="H202" s="84"/>
    </row>
    <row r="203" spans="2:8" ht="39" customHeight="1" x14ac:dyDescent="0.35">
      <c r="B203" s="153" t="s">
        <v>139</v>
      </c>
      <c r="C203" s="154"/>
      <c r="D203" s="155"/>
      <c r="E203" s="36">
        <v>0</v>
      </c>
      <c r="F203" s="166"/>
      <c r="G203" s="83"/>
      <c r="H203" s="84"/>
    </row>
    <row r="204" spans="2:8" ht="39" customHeight="1" x14ac:dyDescent="0.35">
      <c r="B204" s="153" t="s">
        <v>140</v>
      </c>
      <c r="C204" s="154"/>
      <c r="D204" s="155"/>
      <c r="E204" s="36">
        <v>0</v>
      </c>
      <c r="F204" s="128"/>
      <c r="G204" s="81"/>
      <c r="H204" s="82"/>
    </row>
    <row r="205" spans="2:8" ht="36" customHeight="1" x14ac:dyDescent="0.35">
      <c r="B205" s="89" t="s">
        <v>141</v>
      </c>
      <c r="C205" s="97"/>
      <c r="D205" s="90"/>
      <c r="E205" s="15" t="s">
        <v>14</v>
      </c>
      <c r="F205" s="18">
        <f>SUM(E206:E209)</f>
        <v>5000000</v>
      </c>
      <c r="G205" s="81"/>
      <c r="H205" s="82"/>
    </row>
    <row r="206" spans="2:8" ht="39.65" customHeight="1" x14ac:dyDescent="0.35">
      <c r="B206" s="153" t="s">
        <v>142</v>
      </c>
      <c r="C206" s="154"/>
      <c r="D206" s="155"/>
      <c r="E206" s="36">
        <v>5000000</v>
      </c>
      <c r="F206" s="167"/>
      <c r="G206" s="101" t="s">
        <v>185</v>
      </c>
      <c r="H206" s="102"/>
    </row>
    <row r="207" spans="2:8" ht="39.65" customHeight="1" x14ac:dyDescent="0.35">
      <c r="B207" s="153" t="s">
        <v>143</v>
      </c>
      <c r="C207" s="154"/>
      <c r="D207" s="155"/>
      <c r="E207" s="36">
        <v>0</v>
      </c>
      <c r="F207" s="168"/>
      <c r="G207" s="83"/>
      <c r="H207" s="84"/>
    </row>
    <row r="208" spans="2:8" ht="39.65" customHeight="1" x14ac:dyDescent="0.35">
      <c r="B208" s="153" t="s">
        <v>144</v>
      </c>
      <c r="C208" s="154"/>
      <c r="D208" s="155"/>
      <c r="E208" s="36">
        <v>0</v>
      </c>
      <c r="F208" s="168"/>
      <c r="G208" s="83"/>
      <c r="H208" s="84"/>
    </row>
    <row r="209" spans="1:8" ht="39.65" customHeight="1" x14ac:dyDescent="0.35">
      <c r="B209" s="153" t="s">
        <v>145</v>
      </c>
      <c r="C209" s="154"/>
      <c r="D209" s="155"/>
      <c r="E209" s="36">
        <v>0</v>
      </c>
      <c r="F209" s="169"/>
      <c r="G209" s="81"/>
      <c r="H209" s="82"/>
    </row>
    <row r="210" spans="1:8" ht="36" customHeight="1" x14ac:dyDescent="0.35">
      <c r="B210" s="89" t="s">
        <v>146</v>
      </c>
      <c r="C210" s="97"/>
      <c r="D210" s="90"/>
      <c r="E210" s="15" t="s">
        <v>14</v>
      </c>
      <c r="F210" s="18">
        <f>SUM(E211:E216)</f>
        <v>0</v>
      </c>
      <c r="G210" s="130"/>
      <c r="H210" s="131"/>
    </row>
    <row r="211" spans="1:8" ht="35.4" customHeight="1" x14ac:dyDescent="0.35">
      <c r="B211" s="153" t="s">
        <v>147</v>
      </c>
      <c r="C211" s="154"/>
      <c r="D211" s="155"/>
      <c r="E211" s="36">
        <v>0</v>
      </c>
      <c r="F211" s="127"/>
      <c r="G211" s="101" t="s">
        <v>187</v>
      </c>
      <c r="H211" s="102"/>
    </row>
    <row r="212" spans="1:8" ht="35.4" customHeight="1" x14ac:dyDescent="0.35">
      <c r="B212" s="153" t="s">
        <v>148</v>
      </c>
      <c r="C212" s="154"/>
      <c r="D212" s="155"/>
      <c r="E212" s="36">
        <v>0</v>
      </c>
      <c r="F212" s="166"/>
      <c r="G212" s="83"/>
      <c r="H212" s="84"/>
    </row>
    <row r="213" spans="1:8" ht="35.4" customHeight="1" x14ac:dyDescent="0.35">
      <c r="B213" s="153" t="s">
        <v>149</v>
      </c>
      <c r="C213" s="154"/>
      <c r="D213" s="155"/>
      <c r="E213" s="36">
        <v>0</v>
      </c>
      <c r="F213" s="166"/>
      <c r="G213" s="83"/>
      <c r="H213" s="84"/>
    </row>
    <row r="214" spans="1:8" ht="35.4" customHeight="1" x14ac:dyDescent="0.35">
      <c r="B214" s="153" t="s">
        <v>150</v>
      </c>
      <c r="C214" s="154"/>
      <c r="D214" s="155"/>
      <c r="E214" s="36">
        <v>0</v>
      </c>
      <c r="F214" s="166"/>
      <c r="G214" s="83"/>
      <c r="H214" s="84"/>
    </row>
    <row r="215" spans="1:8" ht="35.4" customHeight="1" x14ac:dyDescent="0.35">
      <c r="B215" s="153" t="s">
        <v>152</v>
      </c>
      <c r="C215" s="154"/>
      <c r="D215" s="155"/>
      <c r="E215" s="36">
        <v>0</v>
      </c>
      <c r="F215" s="166"/>
      <c r="G215" s="83"/>
      <c r="H215" s="84"/>
    </row>
    <row r="216" spans="1:8" ht="35.4" customHeight="1" x14ac:dyDescent="0.35">
      <c r="B216" s="153" t="s">
        <v>151</v>
      </c>
      <c r="C216" s="154"/>
      <c r="D216" s="155"/>
      <c r="E216" s="36">
        <v>0</v>
      </c>
      <c r="F216" s="128"/>
      <c r="G216" s="81"/>
      <c r="H216" s="82"/>
    </row>
    <row r="217" spans="1:8" ht="36" customHeight="1" x14ac:dyDescent="0.35">
      <c r="B217" s="89" t="s">
        <v>157</v>
      </c>
      <c r="C217" s="97"/>
      <c r="D217" s="90"/>
      <c r="E217" s="15" t="s">
        <v>14</v>
      </c>
      <c r="F217" s="18">
        <f>SUM(E218:E226)</f>
        <v>220000000</v>
      </c>
      <c r="G217" s="130"/>
      <c r="H217" s="131"/>
    </row>
    <row r="218" spans="1:8" ht="30" customHeight="1" x14ac:dyDescent="0.35">
      <c r="B218" s="153" t="s">
        <v>291</v>
      </c>
      <c r="C218" s="154"/>
      <c r="D218" s="155"/>
      <c r="E218" s="36">
        <v>170000000</v>
      </c>
      <c r="F218" s="127"/>
      <c r="G218" s="101" t="s">
        <v>192</v>
      </c>
      <c r="H218" s="102"/>
    </row>
    <row r="219" spans="1:8" ht="30" customHeight="1" x14ac:dyDescent="0.35">
      <c r="B219" s="153" t="s">
        <v>292</v>
      </c>
      <c r="C219" s="154"/>
      <c r="D219" s="155"/>
      <c r="E219" s="36">
        <v>0</v>
      </c>
      <c r="F219" s="166"/>
      <c r="G219" s="83"/>
      <c r="H219" s="84"/>
    </row>
    <row r="220" spans="1:8" ht="30" customHeight="1" x14ac:dyDescent="0.35">
      <c r="B220" s="153" t="s">
        <v>293</v>
      </c>
      <c r="C220" s="154"/>
      <c r="D220" s="155"/>
      <c r="E220" s="36">
        <v>0</v>
      </c>
      <c r="F220" s="166"/>
      <c r="G220" s="81"/>
      <c r="H220" s="82"/>
    </row>
    <row r="221" spans="1:8" ht="30" customHeight="1" x14ac:dyDescent="0.35">
      <c r="A221" s="1" t="s">
        <v>186</v>
      </c>
      <c r="B221" s="153" t="s">
        <v>294</v>
      </c>
      <c r="C221" s="154"/>
      <c r="D221" s="155"/>
      <c r="E221" s="36">
        <v>50000000</v>
      </c>
      <c r="F221" s="166"/>
      <c r="G221" s="101" t="s">
        <v>188</v>
      </c>
      <c r="H221" s="102"/>
    </row>
    <row r="222" spans="1:8" ht="30" customHeight="1" x14ac:dyDescent="0.35">
      <c r="B222" s="153" t="s">
        <v>295</v>
      </c>
      <c r="C222" s="154"/>
      <c r="D222" s="155"/>
      <c r="E222" s="36">
        <v>0</v>
      </c>
      <c r="F222" s="166"/>
      <c r="G222" s="83"/>
      <c r="H222" s="84"/>
    </row>
    <row r="223" spans="1:8" ht="30" customHeight="1" x14ac:dyDescent="0.35">
      <c r="B223" s="153" t="s">
        <v>296</v>
      </c>
      <c r="C223" s="154"/>
      <c r="D223" s="155"/>
      <c r="E223" s="36">
        <v>0</v>
      </c>
      <c r="F223" s="166"/>
      <c r="G223" s="81"/>
      <c r="H223" s="82"/>
    </row>
    <row r="224" spans="1:8" ht="30" customHeight="1" x14ac:dyDescent="0.35">
      <c r="B224" s="153" t="s">
        <v>153</v>
      </c>
      <c r="C224" s="154"/>
      <c r="D224" s="155"/>
      <c r="E224" s="36">
        <v>0</v>
      </c>
      <c r="F224" s="166"/>
      <c r="G224" s="130"/>
      <c r="H224" s="131"/>
    </row>
    <row r="225" spans="2:8" ht="30" customHeight="1" x14ac:dyDescent="0.35">
      <c r="B225" s="153" t="s">
        <v>154</v>
      </c>
      <c r="C225" s="154"/>
      <c r="D225" s="155"/>
      <c r="E225" s="36">
        <v>0</v>
      </c>
      <c r="F225" s="166"/>
      <c r="G225" s="130"/>
      <c r="H225" s="131"/>
    </row>
    <row r="226" spans="2:8" ht="30" customHeight="1" x14ac:dyDescent="0.35">
      <c r="B226" s="153" t="s">
        <v>156</v>
      </c>
      <c r="C226" s="154"/>
      <c r="D226" s="155"/>
      <c r="E226" s="36">
        <v>0</v>
      </c>
      <c r="F226" s="128"/>
      <c r="G226" s="130"/>
      <c r="H226" s="131"/>
    </row>
    <row r="227" spans="2:8" ht="36" customHeight="1" x14ac:dyDescent="0.35">
      <c r="B227" s="89" t="s">
        <v>158</v>
      </c>
      <c r="C227" s="97"/>
      <c r="D227" s="90"/>
      <c r="E227" s="15" t="s">
        <v>14</v>
      </c>
      <c r="F227" s="18">
        <f>E228+E231+E232+E233+E234+E235+E236</f>
        <v>4000000</v>
      </c>
      <c r="G227" s="130"/>
      <c r="H227" s="131"/>
    </row>
    <row r="228" spans="2:8" ht="33" customHeight="1" x14ac:dyDescent="0.35">
      <c r="B228" s="153" t="s">
        <v>159</v>
      </c>
      <c r="C228" s="154"/>
      <c r="D228" s="155"/>
      <c r="E228" s="36">
        <v>0</v>
      </c>
      <c r="F228" s="18"/>
      <c r="G228" s="89" t="s">
        <v>191</v>
      </c>
      <c r="H228" s="90"/>
    </row>
    <row r="229" spans="2:8" ht="36" customHeight="1" x14ac:dyDescent="0.35">
      <c r="B229" s="153" t="s">
        <v>160</v>
      </c>
      <c r="C229" s="154"/>
      <c r="D229" s="155"/>
      <c r="E229" s="15" t="s">
        <v>14</v>
      </c>
      <c r="F229" s="18">
        <f>F190</f>
        <v>169000</v>
      </c>
      <c r="G229" s="89" t="s">
        <v>189</v>
      </c>
      <c r="H229" s="90"/>
    </row>
    <row r="230" spans="2:8" ht="36.65" customHeight="1" x14ac:dyDescent="0.35">
      <c r="B230" s="153" t="s">
        <v>161</v>
      </c>
      <c r="C230" s="154"/>
      <c r="D230" s="155"/>
      <c r="E230" s="15" t="s">
        <v>14</v>
      </c>
      <c r="F230" s="18">
        <f>F180</f>
        <v>1100000</v>
      </c>
      <c r="G230" s="89" t="s">
        <v>297</v>
      </c>
      <c r="H230" s="90"/>
    </row>
    <row r="231" spans="2:8" ht="52.25" customHeight="1" x14ac:dyDescent="0.35">
      <c r="B231" s="153" t="s">
        <v>162</v>
      </c>
      <c r="C231" s="154"/>
      <c r="D231" s="155"/>
      <c r="E231" s="36">
        <v>4000000</v>
      </c>
      <c r="F231" s="127"/>
      <c r="G231" s="89" t="s">
        <v>190</v>
      </c>
      <c r="H231" s="90"/>
    </row>
    <row r="232" spans="2:8" ht="33" customHeight="1" x14ac:dyDescent="0.35">
      <c r="B232" s="153" t="s">
        <v>319</v>
      </c>
      <c r="C232" s="154"/>
      <c r="D232" s="155"/>
      <c r="E232" s="36">
        <v>0</v>
      </c>
      <c r="F232" s="166"/>
      <c r="G232" s="130"/>
      <c r="H232" s="131"/>
    </row>
    <row r="233" spans="2:8" ht="33" customHeight="1" x14ac:dyDescent="0.35">
      <c r="B233" s="153" t="s">
        <v>162</v>
      </c>
      <c r="C233" s="154"/>
      <c r="D233" s="155"/>
      <c r="E233" s="36">
        <v>0</v>
      </c>
      <c r="F233" s="166"/>
      <c r="G233" s="130"/>
      <c r="H233" s="131"/>
    </row>
    <row r="234" spans="2:8" ht="33" customHeight="1" x14ac:dyDescent="0.35">
      <c r="B234" s="153" t="s">
        <v>163</v>
      </c>
      <c r="C234" s="154"/>
      <c r="D234" s="155"/>
      <c r="E234" s="36">
        <v>0</v>
      </c>
      <c r="F234" s="166"/>
      <c r="G234" s="130"/>
      <c r="H234" s="131"/>
    </row>
    <row r="235" spans="2:8" ht="33" customHeight="1" x14ac:dyDescent="0.35">
      <c r="B235" s="153" t="s">
        <v>164</v>
      </c>
      <c r="C235" s="154"/>
      <c r="D235" s="155"/>
      <c r="E235" s="36">
        <v>0</v>
      </c>
      <c r="F235" s="166"/>
      <c r="G235" s="130"/>
      <c r="H235" s="131"/>
    </row>
    <row r="236" spans="2:8" ht="33" customHeight="1" x14ac:dyDescent="0.35">
      <c r="B236" s="153" t="s">
        <v>155</v>
      </c>
      <c r="C236" s="154"/>
      <c r="D236" s="155"/>
      <c r="E236" s="36">
        <v>0</v>
      </c>
      <c r="F236" s="128"/>
      <c r="G236" s="130"/>
      <c r="H236" s="131"/>
    </row>
    <row r="237" spans="2:8" ht="36" customHeight="1" x14ac:dyDescent="0.35">
      <c r="B237" s="122" t="s">
        <v>165</v>
      </c>
      <c r="C237" s="173"/>
      <c r="D237" s="123"/>
      <c r="E237" s="15" t="s">
        <v>14</v>
      </c>
      <c r="F237" s="71">
        <f>ROUND(IF((F227+F217+F210+F205+F197+F229+F230)&gt;0,(F227+F217+F210+F205+F197+F229+F230),0),-3)</f>
        <v>235269000</v>
      </c>
      <c r="G237" s="130"/>
      <c r="H237" s="131"/>
    </row>
    <row r="238" spans="2:8" x14ac:dyDescent="0.35">
      <c r="B238" s="13"/>
    </row>
    <row r="239" spans="2:8" ht="63" customHeight="1" x14ac:dyDescent="0.35">
      <c r="B239" s="91" t="s">
        <v>168</v>
      </c>
      <c r="C239" s="92"/>
      <c r="D239" s="92"/>
      <c r="E239" s="92"/>
      <c r="F239" s="92"/>
      <c r="G239" s="92"/>
      <c r="H239" s="92"/>
    </row>
    <row r="240" spans="2:8" ht="24.65" customHeight="1" x14ac:dyDescent="0.35">
      <c r="B240" s="92" t="s">
        <v>5</v>
      </c>
      <c r="C240" s="92"/>
      <c r="D240" s="92"/>
      <c r="E240" s="3" t="s">
        <v>134</v>
      </c>
      <c r="F240" s="3" t="s">
        <v>133</v>
      </c>
      <c r="G240" s="92" t="s">
        <v>3</v>
      </c>
      <c r="H240" s="92"/>
    </row>
    <row r="241" spans="2:8" ht="36.65" customHeight="1" x14ac:dyDescent="0.35">
      <c r="B241" s="89" t="s">
        <v>194</v>
      </c>
      <c r="C241" s="97"/>
      <c r="D241" s="90"/>
      <c r="E241" s="15" t="s">
        <v>14</v>
      </c>
      <c r="F241" s="18">
        <f>SUM(E242:E252)</f>
        <v>0</v>
      </c>
      <c r="G241" s="81"/>
      <c r="H241" s="82"/>
    </row>
    <row r="242" spans="2:8" ht="37.25" customHeight="1" x14ac:dyDescent="0.35">
      <c r="B242" s="153" t="s">
        <v>172</v>
      </c>
      <c r="C242" s="154"/>
      <c r="D242" s="155"/>
      <c r="E242" s="36">
        <v>0</v>
      </c>
      <c r="F242" s="127"/>
      <c r="G242" s="101" t="s">
        <v>193</v>
      </c>
      <c r="H242" s="102"/>
    </row>
    <row r="243" spans="2:8" ht="37.25" customHeight="1" x14ac:dyDescent="0.35">
      <c r="B243" s="153" t="s">
        <v>173</v>
      </c>
      <c r="C243" s="154"/>
      <c r="D243" s="155"/>
      <c r="E243" s="36">
        <v>0</v>
      </c>
      <c r="F243" s="166"/>
      <c r="G243" s="83"/>
      <c r="H243" s="84"/>
    </row>
    <row r="244" spans="2:8" ht="37.25" customHeight="1" x14ac:dyDescent="0.35">
      <c r="B244" s="153" t="s">
        <v>174</v>
      </c>
      <c r="C244" s="154"/>
      <c r="D244" s="155"/>
      <c r="E244" s="36">
        <v>0</v>
      </c>
      <c r="F244" s="166"/>
      <c r="G244" s="83"/>
      <c r="H244" s="84"/>
    </row>
    <row r="245" spans="2:8" ht="37.25" customHeight="1" x14ac:dyDescent="0.35">
      <c r="B245" s="153" t="s">
        <v>175</v>
      </c>
      <c r="C245" s="154"/>
      <c r="D245" s="155"/>
      <c r="E245" s="36">
        <v>0</v>
      </c>
      <c r="F245" s="166"/>
      <c r="G245" s="83"/>
      <c r="H245" s="84"/>
    </row>
    <row r="246" spans="2:8" ht="37.25" customHeight="1" x14ac:dyDescent="0.35">
      <c r="B246" s="153" t="s">
        <v>176</v>
      </c>
      <c r="C246" s="154"/>
      <c r="D246" s="155"/>
      <c r="E246" s="36">
        <v>0</v>
      </c>
      <c r="F246" s="166"/>
      <c r="G246" s="83"/>
      <c r="H246" s="84"/>
    </row>
    <row r="247" spans="2:8" ht="37.25" customHeight="1" x14ac:dyDescent="0.35">
      <c r="B247" s="153" t="s">
        <v>177</v>
      </c>
      <c r="C247" s="154"/>
      <c r="D247" s="155"/>
      <c r="E247" s="36">
        <v>0</v>
      </c>
      <c r="F247" s="166"/>
      <c r="G247" s="83"/>
      <c r="H247" s="84"/>
    </row>
    <row r="248" spans="2:8" ht="37.25" customHeight="1" x14ac:dyDescent="0.35">
      <c r="B248" s="153" t="s">
        <v>178</v>
      </c>
      <c r="C248" s="154"/>
      <c r="D248" s="155"/>
      <c r="E248" s="36">
        <v>0</v>
      </c>
      <c r="F248" s="166"/>
      <c r="G248" s="83"/>
      <c r="H248" s="84"/>
    </row>
    <row r="249" spans="2:8" ht="37.25" customHeight="1" x14ac:dyDescent="0.35">
      <c r="B249" s="153" t="s">
        <v>179</v>
      </c>
      <c r="C249" s="154"/>
      <c r="D249" s="155"/>
      <c r="E249" s="36">
        <v>0</v>
      </c>
      <c r="F249" s="166"/>
      <c r="G249" s="83"/>
      <c r="H249" s="84"/>
    </row>
    <row r="250" spans="2:8" ht="37.25" customHeight="1" x14ac:dyDescent="0.35">
      <c r="B250" s="153" t="s">
        <v>180</v>
      </c>
      <c r="C250" s="154"/>
      <c r="D250" s="155"/>
      <c r="E250" s="36">
        <v>0</v>
      </c>
      <c r="F250" s="166"/>
      <c r="G250" s="83"/>
      <c r="H250" s="84"/>
    </row>
    <row r="251" spans="2:8" ht="37.25" customHeight="1" x14ac:dyDescent="0.35">
      <c r="B251" s="153" t="s">
        <v>181</v>
      </c>
      <c r="C251" s="154"/>
      <c r="D251" s="155"/>
      <c r="E251" s="36">
        <v>0</v>
      </c>
      <c r="F251" s="166"/>
      <c r="G251" s="83"/>
      <c r="H251" s="84"/>
    </row>
    <row r="252" spans="2:8" ht="37.25" customHeight="1" x14ac:dyDescent="0.35">
      <c r="B252" s="153" t="s">
        <v>182</v>
      </c>
      <c r="C252" s="154"/>
      <c r="D252" s="155"/>
      <c r="E252" s="36">
        <v>0</v>
      </c>
      <c r="F252" s="128"/>
      <c r="G252" s="83"/>
      <c r="H252" s="84"/>
    </row>
    <row r="253" spans="2:8" ht="32.4" customHeight="1" x14ac:dyDescent="0.35">
      <c r="B253" s="153" t="s">
        <v>298</v>
      </c>
      <c r="C253" s="154"/>
      <c r="D253" s="155"/>
      <c r="E253" s="15" t="s">
        <v>14</v>
      </c>
      <c r="F253" s="58">
        <f>F189</f>
        <v>0</v>
      </c>
      <c r="G253" s="81"/>
      <c r="H253" s="82"/>
    </row>
    <row r="254" spans="2:8" ht="33" customHeight="1" x14ac:dyDescent="0.35">
      <c r="B254" s="122" t="s">
        <v>171</v>
      </c>
      <c r="C254" s="173"/>
      <c r="D254" s="123"/>
      <c r="E254" s="15" t="s">
        <v>14</v>
      </c>
      <c r="F254" s="72">
        <f>ROUND(IF(F241+F253&gt;0,F241+F253,0),-3)</f>
        <v>0</v>
      </c>
      <c r="G254" s="81"/>
      <c r="H254" s="82"/>
    </row>
    <row r="255" spans="2:8" ht="15" customHeight="1" x14ac:dyDescent="0.35">
      <c r="B255" s="13"/>
    </row>
    <row r="256" spans="2:8" ht="44.4" customHeight="1" x14ac:dyDescent="0.35">
      <c r="B256" s="91" t="s">
        <v>169</v>
      </c>
      <c r="C256" s="92"/>
      <c r="D256" s="92"/>
      <c r="E256" s="92"/>
      <c r="F256" s="92"/>
      <c r="G256" s="92"/>
      <c r="H256" s="92"/>
    </row>
    <row r="257" spans="2:8" ht="30" customHeight="1" x14ac:dyDescent="0.35">
      <c r="B257" s="87" t="s">
        <v>5</v>
      </c>
      <c r="C257" s="88"/>
      <c r="D257" s="87" t="s">
        <v>15</v>
      </c>
      <c r="E257" s="103"/>
      <c r="F257" s="88"/>
      <c r="G257" s="92" t="s">
        <v>3</v>
      </c>
      <c r="H257" s="92"/>
    </row>
    <row r="258" spans="2:8" ht="46.75" customHeight="1" x14ac:dyDescent="0.35">
      <c r="B258" s="101" t="s">
        <v>299</v>
      </c>
      <c r="C258" s="102"/>
      <c r="D258" s="105">
        <f>F237</f>
        <v>235269000</v>
      </c>
      <c r="E258" s="106"/>
      <c r="F258" s="107"/>
      <c r="G258" s="81"/>
      <c r="H258" s="82"/>
    </row>
    <row r="259" spans="2:8" ht="46.75" customHeight="1" x14ac:dyDescent="0.35">
      <c r="B259" s="101" t="s">
        <v>300</v>
      </c>
      <c r="C259" s="102"/>
      <c r="D259" s="105">
        <f>F254</f>
        <v>0</v>
      </c>
      <c r="E259" s="106"/>
      <c r="F259" s="107"/>
      <c r="G259" s="81"/>
      <c r="H259" s="82"/>
    </row>
    <row r="260" spans="2:8" ht="46.75" customHeight="1" x14ac:dyDescent="0.35">
      <c r="B260" s="174" t="s">
        <v>170</v>
      </c>
      <c r="C260" s="175"/>
      <c r="D260" s="106">
        <f>IF((D258-SUM(D259))&gt;0,(D258-SUM(D259)),0)</f>
        <v>235269000</v>
      </c>
      <c r="E260" s="106"/>
      <c r="F260" s="107"/>
      <c r="G260" s="81"/>
      <c r="H260" s="82"/>
    </row>
    <row r="261" spans="2:8" ht="15" customHeight="1" x14ac:dyDescent="0.35">
      <c r="B261" s="13"/>
    </row>
    <row r="262" spans="2:8" ht="15" customHeight="1" x14ac:dyDescent="0.35">
      <c r="B262" s="13"/>
    </row>
    <row r="263" spans="2:8" ht="48" customHeight="1" x14ac:dyDescent="0.35">
      <c r="B263" s="140" t="s">
        <v>82</v>
      </c>
      <c r="C263" s="140"/>
      <c r="D263" s="140"/>
      <c r="E263" s="140"/>
      <c r="F263" s="140"/>
      <c r="G263" s="140"/>
      <c r="H263" s="140"/>
    </row>
    <row r="264" spans="2:8" ht="19.25" customHeight="1" x14ac:dyDescent="0.35">
      <c r="B264" s="141" t="s">
        <v>41</v>
      </c>
      <c r="C264" s="141"/>
      <c r="D264" s="141"/>
      <c r="E264" s="141"/>
      <c r="F264" s="141"/>
      <c r="G264" s="141"/>
      <c r="H264" s="141"/>
    </row>
    <row r="266" spans="2:8" ht="39" customHeight="1" x14ac:dyDescent="0.35">
      <c r="B266" s="140" t="s">
        <v>325</v>
      </c>
      <c r="C266" s="140"/>
      <c r="D266" s="140"/>
      <c r="E266" s="140"/>
      <c r="F266" s="140"/>
      <c r="G266" s="140"/>
      <c r="H266" s="140"/>
    </row>
    <row r="267" spans="2:8" s="8" customFormat="1" ht="26.4" customHeight="1" x14ac:dyDescent="0.35">
      <c r="B267" s="141" t="s">
        <v>0</v>
      </c>
      <c r="C267" s="141"/>
      <c r="D267" s="141"/>
      <c r="E267" s="141"/>
      <c r="F267" s="141"/>
      <c r="G267" s="141"/>
      <c r="H267" s="141"/>
    </row>
    <row r="269" spans="2:8" ht="15" customHeight="1" x14ac:dyDescent="0.35">
      <c r="B269" s="139" t="s">
        <v>326</v>
      </c>
      <c r="C269" s="139"/>
      <c r="D269" s="139"/>
      <c r="E269" s="139"/>
      <c r="F269" s="139"/>
      <c r="G269" s="139"/>
      <c r="H269" s="139"/>
    </row>
    <row r="270" spans="2:8" x14ac:dyDescent="0.35">
      <c r="B270" s="139"/>
      <c r="C270" s="139"/>
      <c r="D270" s="139"/>
      <c r="E270" s="139"/>
      <c r="F270" s="139"/>
      <c r="G270" s="139"/>
      <c r="H270" s="139"/>
    </row>
    <row r="271" spans="2:8" x14ac:dyDescent="0.35">
      <c r="B271" s="139"/>
      <c r="C271" s="139"/>
      <c r="D271" s="139"/>
      <c r="E271" s="139"/>
      <c r="F271" s="139"/>
      <c r="G271" s="139"/>
      <c r="H271" s="139"/>
    </row>
    <row r="272" spans="2:8" x14ac:dyDescent="0.35">
      <c r="B272" s="139"/>
      <c r="C272" s="139"/>
      <c r="D272" s="139"/>
      <c r="E272" s="139"/>
      <c r="F272" s="139"/>
      <c r="G272" s="139"/>
      <c r="H272" s="139"/>
    </row>
  </sheetData>
  <mergeCells count="388">
    <mergeCell ref="B179:C179"/>
    <mergeCell ref="B180:C181"/>
    <mergeCell ref="D180:D181"/>
    <mergeCell ref="D186:D188"/>
    <mergeCell ref="B186:C188"/>
    <mergeCell ref="B185:C185"/>
    <mergeCell ref="B170:C170"/>
    <mergeCell ref="B117:C117"/>
    <mergeCell ref="B106:H106"/>
    <mergeCell ref="G107:H107"/>
    <mergeCell ref="G115:H116"/>
    <mergeCell ref="B109:C109"/>
    <mergeCell ref="B169:C169"/>
    <mergeCell ref="B176:C176"/>
    <mergeCell ref="B177:C177"/>
    <mergeCell ref="B178:C178"/>
    <mergeCell ref="F190:F191"/>
    <mergeCell ref="G179:H179"/>
    <mergeCell ref="G180:H180"/>
    <mergeCell ref="G181:H181"/>
    <mergeCell ref="F180:F181"/>
    <mergeCell ref="B103:D103"/>
    <mergeCell ref="B104:D104"/>
    <mergeCell ref="B114:C114"/>
    <mergeCell ref="G114:H114"/>
    <mergeCell ref="B121:C121"/>
    <mergeCell ref="B125:C126"/>
    <mergeCell ref="B134:C134"/>
    <mergeCell ref="B135:C135"/>
    <mergeCell ref="B136:C136"/>
    <mergeCell ref="D125:D126"/>
    <mergeCell ref="E125:E126"/>
    <mergeCell ref="G126:H126"/>
    <mergeCell ref="F125:F126"/>
    <mergeCell ref="B132:H132"/>
    <mergeCell ref="B133:D133"/>
    <mergeCell ref="G133:H133"/>
    <mergeCell ref="G134:H134"/>
    <mergeCell ref="G136:H136"/>
    <mergeCell ref="G108:H108"/>
    <mergeCell ref="D259:F259"/>
    <mergeCell ref="G259:H259"/>
    <mergeCell ref="B244:D244"/>
    <mergeCell ref="B251:D251"/>
    <mergeCell ref="B252:D252"/>
    <mergeCell ref="B253:D253"/>
    <mergeCell ref="E180:E181"/>
    <mergeCell ref="B183:H183"/>
    <mergeCell ref="G171:H171"/>
    <mergeCell ref="B175:H175"/>
    <mergeCell ref="G176:H176"/>
    <mergeCell ref="G177:H177"/>
    <mergeCell ref="G178:H178"/>
    <mergeCell ref="G172:H172"/>
    <mergeCell ref="G173:H173"/>
    <mergeCell ref="B172:C172"/>
    <mergeCell ref="B171:C171"/>
    <mergeCell ref="B173:C173"/>
    <mergeCell ref="G192:H192"/>
    <mergeCell ref="G190:H191"/>
    <mergeCell ref="G187:H187"/>
    <mergeCell ref="F186:F188"/>
    <mergeCell ref="E186:E188"/>
    <mergeCell ref="G188:H188"/>
    <mergeCell ref="G234:H234"/>
    <mergeCell ref="G235:H235"/>
    <mergeCell ref="G236:H236"/>
    <mergeCell ref="G237:H237"/>
    <mergeCell ref="B223:D223"/>
    <mergeCell ref="B224:D224"/>
    <mergeCell ref="B260:C260"/>
    <mergeCell ref="D260:F260"/>
    <mergeCell ref="G260:H260"/>
    <mergeCell ref="B245:D245"/>
    <mergeCell ref="B246:D246"/>
    <mergeCell ref="B247:D247"/>
    <mergeCell ref="B248:D248"/>
    <mergeCell ref="B249:D249"/>
    <mergeCell ref="B250:D250"/>
    <mergeCell ref="G242:H253"/>
    <mergeCell ref="B256:H256"/>
    <mergeCell ref="B257:C257"/>
    <mergeCell ref="D257:F257"/>
    <mergeCell ref="G257:H257"/>
    <mergeCell ref="B258:C258"/>
    <mergeCell ref="D258:F258"/>
    <mergeCell ref="G258:H258"/>
    <mergeCell ref="B259:C259"/>
    <mergeCell ref="B254:D254"/>
    <mergeCell ref="G254:H254"/>
    <mergeCell ref="B239:H239"/>
    <mergeCell ref="B240:D240"/>
    <mergeCell ref="G240:H240"/>
    <mergeCell ref="B241:D241"/>
    <mergeCell ref="G241:H241"/>
    <mergeCell ref="B242:D242"/>
    <mergeCell ref="B243:D243"/>
    <mergeCell ref="F242:F252"/>
    <mergeCell ref="B235:D235"/>
    <mergeCell ref="B236:D236"/>
    <mergeCell ref="B237:D237"/>
    <mergeCell ref="G210:H210"/>
    <mergeCell ref="G217:H217"/>
    <mergeCell ref="G224:H224"/>
    <mergeCell ref="G225:H225"/>
    <mergeCell ref="G226:H226"/>
    <mergeCell ref="G227:H227"/>
    <mergeCell ref="G228:H228"/>
    <mergeCell ref="G229:H229"/>
    <mergeCell ref="B234:D234"/>
    <mergeCell ref="B217:D217"/>
    <mergeCell ref="B218:D218"/>
    <mergeCell ref="B219:D219"/>
    <mergeCell ref="B220:D220"/>
    <mergeCell ref="B221:D221"/>
    <mergeCell ref="B222:D222"/>
    <mergeCell ref="G230:H230"/>
    <mergeCell ref="B226:D226"/>
    <mergeCell ref="B227:D227"/>
    <mergeCell ref="F218:F226"/>
    <mergeCell ref="F231:F236"/>
    <mergeCell ref="G231:H231"/>
    <mergeCell ref="B233:D233"/>
    <mergeCell ref="B215:D215"/>
    <mergeCell ref="G205:H205"/>
    <mergeCell ref="B207:D207"/>
    <mergeCell ref="B208:D208"/>
    <mergeCell ref="B209:D209"/>
    <mergeCell ref="B210:D210"/>
    <mergeCell ref="B211:D211"/>
    <mergeCell ref="B212:D212"/>
    <mergeCell ref="B213:D213"/>
    <mergeCell ref="B214:D214"/>
    <mergeCell ref="G211:H216"/>
    <mergeCell ref="G206:H209"/>
    <mergeCell ref="G218:H220"/>
    <mergeCell ref="G221:H223"/>
    <mergeCell ref="G232:H232"/>
    <mergeCell ref="G233:H233"/>
    <mergeCell ref="B204:D204"/>
    <mergeCell ref="B205:D205"/>
    <mergeCell ref="B206:D206"/>
    <mergeCell ref="B225:D225"/>
    <mergeCell ref="B228:D228"/>
    <mergeCell ref="B229:D229"/>
    <mergeCell ref="B230:D230"/>
    <mergeCell ref="B231:D231"/>
    <mergeCell ref="B232:D232"/>
    <mergeCell ref="B75:C75"/>
    <mergeCell ref="G75:H75"/>
    <mergeCell ref="B82:H82"/>
    <mergeCell ref="B83:D83"/>
    <mergeCell ref="B197:D197"/>
    <mergeCell ref="B199:D199"/>
    <mergeCell ref="B200:D200"/>
    <mergeCell ref="B201:D201"/>
    <mergeCell ref="B202:D202"/>
    <mergeCell ref="B198:D198"/>
    <mergeCell ref="G198:H204"/>
    <mergeCell ref="G137:H137"/>
    <mergeCell ref="G135:H135"/>
    <mergeCell ref="B137:C137"/>
    <mergeCell ref="B189:C189"/>
    <mergeCell ref="B190:C191"/>
    <mergeCell ref="B192:C192"/>
    <mergeCell ref="D190:D191"/>
    <mergeCell ref="B184:D184"/>
    <mergeCell ref="G184:H184"/>
    <mergeCell ref="G185:H185"/>
    <mergeCell ref="G186:H186"/>
    <mergeCell ref="G189:H189"/>
    <mergeCell ref="E190:E191"/>
    <mergeCell ref="D75:F75"/>
    <mergeCell ref="B70:H70"/>
    <mergeCell ref="B71:C71"/>
    <mergeCell ref="G80:H80"/>
    <mergeCell ref="F198:F204"/>
    <mergeCell ref="F206:F209"/>
    <mergeCell ref="F211:F216"/>
    <mergeCell ref="I2:I3"/>
    <mergeCell ref="C2:G3"/>
    <mergeCell ref="B18:C18"/>
    <mergeCell ref="B15:H15"/>
    <mergeCell ref="B5:H6"/>
    <mergeCell ref="B195:H195"/>
    <mergeCell ref="B196:D196"/>
    <mergeCell ref="G196:H196"/>
    <mergeCell ref="B31:C31"/>
    <mergeCell ref="E31:H31"/>
    <mergeCell ref="B108:C108"/>
    <mergeCell ref="B107:C107"/>
    <mergeCell ref="G64:H64"/>
    <mergeCell ref="G66:H66"/>
    <mergeCell ref="B62:C62"/>
    <mergeCell ref="B61:C61"/>
    <mergeCell ref="B73:C73"/>
    <mergeCell ref="G61:H61"/>
    <mergeCell ref="G45:H45"/>
    <mergeCell ref="B48:C48"/>
    <mergeCell ref="G67:H67"/>
    <mergeCell ref="B65:C65"/>
    <mergeCell ref="G65:H65"/>
    <mergeCell ref="B72:C72"/>
    <mergeCell ref="G72:H72"/>
    <mergeCell ref="B74:C74"/>
    <mergeCell ref="D72:F72"/>
    <mergeCell ref="D73:F73"/>
    <mergeCell ref="D74:F74"/>
    <mergeCell ref="B19:C19"/>
    <mergeCell ref="B24:C24"/>
    <mergeCell ref="B25:C25"/>
    <mergeCell ref="B26:C26"/>
    <mergeCell ref="B27:C27"/>
    <mergeCell ref="B28:C28"/>
    <mergeCell ref="B29:C29"/>
    <mergeCell ref="B21:C21"/>
    <mergeCell ref="B57:C57"/>
    <mergeCell ref="B53:C53"/>
    <mergeCell ref="B55:H55"/>
    <mergeCell ref="B56:C56"/>
    <mergeCell ref="G56:H56"/>
    <mergeCell ref="G46:H46"/>
    <mergeCell ref="B52:C52"/>
    <mergeCell ref="F52:F53"/>
    <mergeCell ref="B41:C41"/>
    <mergeCell ref="G41:H41"/>
    <mergeCell ref="G42:H42"/>
    <mergeCell ref="B40:C40"/>
    <mergeCell ref="B101:D101"/>
    <mergeCell ref="G101:H101"/>
    <mergeCell ref="B47:C47"/>
    <mergeCell ref="G47:H47"/>
    <mergeCell ref="D47:F47"/>
    <mergeCell ref="D48:F48"/>
    <mergeCell ref="B45:C45"/>
    <mergeCell ref="G57:H57"/>
    <mergeCell ref="B66:C66"/>
    <mergeCell ref="G62:H62"/>
    <mergeCell ref="B58:C58"/>
    <mergeCell ref="B63:C63"/>
    <mergeCell ref="B64:C64"/>
    <mergeCell ref="G63:H63"/>
    <mergeCell ref="G71:H71"/>
    <mergeCell ref="B46:C46"/>
    <mergeCell ref="G83:H83"/>
    <mergeCell ref="G68:H68"/>
    <mergeCell ref="D71:F71"/>
    <mergeCell ref="B84:C84"/>
    <mergeCell ref="G84:H84"/>
    <mergeCell ref="G58:H58"/>
    <mergeCell ref="G102:H102"/>
    <mergeCell ref="B95:H95"/>
    <mergeCell ref="B96:D96"/>
    <mergeCell ref="G96:H96"/>
    <mergeCell ref="G98:H98"/>
    <mergeCell ref="G87:H87"/>
    <mergeCell ref="F88:F89"/>
    <mergeCell ref="B90:C90"/>
    <mergeCell ref="B102:D102"/>
    <mergeCell ref="G103:H103"/>
    <mergeCell ref="B77:H77"/>
    <mergeCell ref="G117:H117"/>
    <mergeCell ref="B34:H34"/>
    <mergeCell ref="G51:H51"/>
    <mergeCell ref="D38:D39"/>
    <mergeCell ref="F38:F39"/>
    <mergeCell ref="G38:H39"/>
    <mergeCell ref="G90:H90"/>
    <mergeCell ref="G40:H40"/>
    <mergeCell ref="G35:H35"/>
    <mergeCell ref="B86:H86"/>
    <mergeCell ref="G36:H36"/>
    <mergeCell ref="G37:H37"/>
    <mergeCell ref="B59:C59"/>
    <mergeCell ref="B60:C60"/>
    <mergeCell ref="G59:H59"/>
    <mergeCell ref="G60:H60"/>
    <mergeCell ref="B67:C67"/>
    <mergeCell ref="B38:C39"/>
    <mergeCell ref="B36:C36"/>
    <mergeCell ref="G109:H109"/>
    <mergeCell ref="G52:H53"/>
    <mergeCell ref="G48:H48"/>
    <mergeCell ref="B113:C113"/>
    <mergeCell ref="F115:F116"/>
    <mergeCell ref="B269:H272"/>
    <mergeCell ref="B266:H266"/>
    <mergeCell ref="B267:H267"/>
    <mergeCell ref="B263:H263"/>
    <mergeCell ref="B264:H264"/>
    <mergeCell ref="F153:H153"/>
    <mergeCell ref="B146:D146"/>
    <mergeCell ref="B145:E145"/>
    <mergeCell ref="F154:H154"/>
    <mergeCell ref="F155:H155"/>
    <mergeCell ref="F156:H156"/>
    <mergeCell ref="F157:H157"/>
    <mergeCell ref="F158:H158"/>
    <mergeCell ref="F159:H159"/>
    <mergeCell ref="B147:D147"/>
    <mergeCell ref="B148:D148"/>
    <mergeCell ref="F152:H152"/>
    <mergeCell ref="G197:H197"/>
    <mergeCell ref="B216:D216"/>
    <mergeCell ref="B142:D142"/>
    <mergeCell ref="G142:H142"/>
    <mergeCell ref="B203:D203"/>
    <mergeCell ref="G104:H104"/>
    <mergeCell ref="B120:H120"/>
    <mergeCell ref="G121:H121"/>
    <mergeCell ref="G122:H122"/>
    <mergeCell ref="B168:H168"/>
    <mergeCell ref="G169:H169"/>
    <mergeCell ref="G170:H170"/>
    <mergeCell ref="B115:C116"/>
    <mergeCell ref="D115:D116"/>
    <mergeCell ref="G113:H113"/>
    <mergeCell ref="B118:C118"/>
    <mergeCell ref="G118:H118"/>
    <mergeCell ref="G166:H166"/>
    <mergeCell ref="G163:H163"/>
    <mergeCell ref="B161:H161"/>
    <mergeCell ref="B162:D162"/>
    <mergeCell ref="G162:H162"/>
    <mergeCell ref="G164:H165"/>
    <mergeCell ref="B151:I151"/>
    <mergeCell ref="B139:H139"/>
    <mergeCell ref="B140:D140"/>
    <mergeCell ref="G140:H140"/>
    <mergeCell ref="B141:D141"/>
    <mergeCell ref="G141:H141"/>
    <mergeCell ref="B16:C16"/>
    <mergeCell ref="B35:C35"/>
    <mergeCell ref="B68:C68"/>
    <mergeCell ref="D68:F68"/>
    <mergeCell ref="E16:H16"/>
    <mergeCell ref="E18:H18"/>
    <mergeCell ref="E19:H19"/>
    <mergeCell ref="E20:H29"/>
    <mergeCell ref="E32:H32"/>
    <mergeCell ref="D46:F46"/>
    <mergeCell ref="D45:F45"/>
    <mergeCell ref="B20:C20"/>
    <mergeCell ref="B32:C32"/>
    <mergeCell ref="B22:C22"/>
    <mergeCell ref="B23:C23"/>
    <mergeCell ref="B37:C37"/>
    <mergeCell ref="B50:H50"/>
    <mergeCell ref="B51:C51"/>
    <mergeCell ref="B17:C17"/>
    <mergeCell ref="E17:H17"/>
    <mergeCell ref="B30:C30"/>
    <mergeCell ref="E30:H30"/>
    <mergeCell ref="B44:H44"/>
    <mergeCell ref="B42:C42"/>
    <mergeCell ref="B87:C87"/>
    <mergeCell ref="D88:D89"/>
    <mergeCell ref="B88:C89"/>
    <mergeCell ref="G88:H89"/>
    <mergeCell ref="B91:C91"/>
    <mergeCell ref="G91:H91"/>
    <mergeCell ref="B92:C92"/>
    <mergeCell ref="G92:H92"/>
    <mergeCell ref="B100:H100"/>
    <mergeCell ref="G73:H74"/>
    <mergeCell ref="B143:D143"/>
    <mergeCell ref="G143:H143"/>
    <mergeCell ref="G129:H129"/>
    <mergeCell ref="G130:H130"/>
    <mergeCell ref="G123:H123"/>
    <mergeCell ref="G124:H124"/>
    <mergeCell ref="G125:H125"/>
    <mergeCell ref="G127:H127"/>
    <mergeCell ref="G128:H128"/>
    <mergeCell ref="B78:C78"/>
    <mergeCell ref="B79:C79"/>
    <mergeCell ref="B80:C80"/>
    <mergeCell ref="B111:H111"/>
    <mergeCell ref="B112:C112"/>
    <mergeCell ref="G112:H112"/>
    <mergeCell ref="B93:C93"/>
    <mergeCell ref="G93:H93"/>
    <mergeCell ref="D93:F93"/>
    <mergeCell ref="B97:D97"/>
    <mergeCell ref="B98:D98"/>
    <mergeCell ref="G97:H97"/>
    <mergeCell ref="G78:H78"/>
    <mergeCell ref="G79:H79"/>
  </mergeCells>
  <conditionalFormatting sqref="E17:E18 G57:H58 G59:G60 G61:H64 G65 G66:H67 G122:H124 G125 G127:H131 G152:H160 G192 G197:H197 G198 G205:H205 G210:G211 G217:G218 G221 G224:G237">
    <cfRule type="containsText" dxfId="16" priority="64" operator="containsText" text="De acuerdo con los datos ingresados en la celda D9 por tratarse de un independiente no se debe diligenciar esta casilla.">
      <formula>NOT(ISERROR(SEARCH("De acuerdo con los datos ingresados en la celda D9 por tratarse de un independiente no se debe diligenciar esta casilla.",E17)))</formula>
    </cfRule>
  </conditionalFormatting>
  <conditionalFormatting sqref="F253:F254">
    <cfRule type="containsText" dxfId="15" priority="19" operator="containsText" text="De acuerdo con los datos ingresados en la celda D9 por tratarse de un independiente no se debe diligenciar esta casilla.">
      <formula>NOT(ISERROR(SEARCH("De acuerdo con los datos ingresados en la celda D9 por tratarse de un independiente no se debe diligenciar esta casilla.",F253)))</formula>
    </cfRule>
  </conditionalFormatting>
  <conditionalFormatting sqref="F206:G206">
    <cfRule type="containsText" dxfId="14" priority="24" operator="containsText" text="De acuerdo con los datos ingresados en la celda D9 por tratarse de un independiente no se debe diligenciar esta casilla.">
      <formula>NOT(ISERROR(SEARCH("De acuerdo con los datos ingresados en la celda D9 por tratarse de un independiente no se debe diligenciar esta casilla.",F206)))</formula>
    </cfRule>
  </conditionalFormatting>
  <conditionalFormatting sqref="G88 G90:H93">
    <cfRule type="containsText" dxfId="13" priority="32" operator="containsText" text="De acuerdo con los datos ingresados en la celda D9 por tratarse de un independiente que va a tomar costos y deducciones en su declaración de renta, no se debe diligenciar esta casilla.">
      <formula>NOT(ISERROR(SEARCH("De acuerdo con los datos ingresados en la celda D9 por tratarse de un independiente que va a tomar costos y deducciones en su declaración de renta, no se debe diligenciar esta casilla.",G88)))</formula>
    </cfRule>
  </conditionalFormatting>
  <conditionalFormatting sqref="G163 G166:H167">
    <cfRule type="containsText" dxfId="12" priority="10" operator="containsText" text="De acuerdo con los datos ingresados en la celda D9 por tratarse de un independiente no se debe diligenciar esta casilla.">
      <formula>NOT(ISERROR(SEARCH("De acuerdo con los datos ingresados en la celda D9 por tratarse de un independiente no se debe diligenciar esta casilla.",G163)))</formula>
    </cfRule>
  </conditionalFormatting>
  <conditionalFormatting sqref="G177:G180">
    <cfRule type="containsText" dxfId="11" priority="5" operator="containsText" text="De acuerdo con los datos ingresados en la celda D9 por tratarse de un independiente no se debe diligenciar esta casilla.">
      <formula>NOT(ISERROR(SEARCH("De acuerdo con los datos ingresados en la celda D9 por tratarse de un independiente no se debe diligenciar esta casilla.",G177)))</formula>
    </cfRule>
  </conditionalFormatting>
  <conditionalFormatting sqref="G185:G190">
    <cfRule type="containsText" dxfId="10" priority="3" operator="containsText" text="De acuerdo con los datos ingresados en la celda D9 por tratarse de un independiente no se debe diligenciar esta casilla.">
      <formula>NOT(ISERROR(SEARCH("De acuerdo con los datos ingresados en la celda D9 por tratarse de un independiente no se debe diligenciar esta casilla.",G185)))</formula>
    </cfRule>
  </conditionalFormatting>
  <conditionalFormatting sqref="G72:H72 G73 G75:H75">
    <cfRule type="containsText" dxfId="9" priority="34" operator="containsText" text="De acuerdo con los datos ingresados en la celda D9 por tratarse de un independiente no se debe diligenciar esta casilla.">
      <formula>NOT(ISERROR(SEARCH("De acuerdo con los datos ingresados en la celda D9 por tratarse de un independiente no se debe diligenciar esta casilla.",G72)))</formula>
    </cfRule>
  </conditionalFormatting>
  <conditionalFormatting sqref="G79:H80">
    <cfRule type="containsText" dxfId="8" priority="29" operator="containsText" text="De acuerdo con los datos ingresados en la celda D9 por tratarse de un independiente que va a tomar costos y deducciones en su declaración de renta, no se debe diligenciar esta casilla.">
      <formula>NOT(ISERROR(SEARCH("De acuerdo con los datos ingresados en la celda D9 por tratarse de un independiente que va a tomar costos y deducciones en su declaración de renta, no se debe diligenciar esta casilla.",G79)))</formula>
    </cfRule>
  </conditionalFormatting>
  <conditionalFormatting sqref="G84:H84">
    <cfRule type="containsText" dxfId="7" priority="60" operator="containsText" text="De acuerdo con los datos ingresados en la celda D9 por tratarse de un independiente que va a tomar costos y deducciones en su declaración de renta, no se debe diligenciar esta casilla.">
      <formula>NOT(ISERROR(SEARCH("De acuerdo con los datos ingresados en la celda D9 por tratarse de un independiente que va a tomar costos y deducciones en su declaración de renta, no se debe diligenciar esta casilla.",G84)))</formula>
    </cfRule>
  </conditionalFormatting>
  <conditionalFormatting sqref="G102:H104">
    <cfRule type="containsText" dxfId="6" priority="30" operator="containsText" text="De acuerdo con los datos ingresados en la celda D9 por tratarse de un independiente no se debe diligenciar esta casilla.">
      <formula>NOT(ISERROR(SEARCH("De acuerdo con los datos ingresados en la celda D9 por tratarse de un independiente no se debe diligenciar esta casilla.",G102)))</formula>
    </cfRule>
  </conditionalFormatting>
  <conditionalFormatting sqref="G108:H108">
    <cfRule type="containsText" dxfId="5" priority="49" operator="containsText" text="De acuerdo con los datos ingresados en la celda D9 por tratarse de un independiente no se debe diligenciar esta casilla.">
      <formula>NOT(ISERROR(SEARCH("De acuerdo con los datos ingresados en la celda D9 por tratarse de un independiente no se debe diligenciar esta casilla.",G108)))</formula>
    </cfRule>
  </conditionalFormatting>
  <conditionalFormatting sqref="G109:H109 G115 G117:H117">
    <cfRule type="containsText" dxfId="4" priority="42" operator="containsText" text="De acuerdo con los datos ingresados en la celda D9 por tratarse de un independiente que va a tomar costos y deducciones en su declaración de renta, no se debe diligenciar esta casilla.">
      <formula>NOT(ISERROR(SEARCH("De acuerdo con los datos ingresados en la celda D9 por tratarse de un independiente que va a tomar costos y deducciones en su declaración de renta, no se debe diligenciar esta casilla.",G109)))</formula>
    </cfRule>
  </conditionalFormatting>
  <conditionalFormatting sqref="G113:H114">
    <cfRule type="containsText" dxfId="3" priority="15" operator="containsText" text="De acuerdo con los datos ingresados en la celda D9 por tratarse de un independiente que va a tomar costos y deducciones en su declaración de renta, no se debe diligenciar esta casilla.">
      <formula>NOT(ISERROR(SEARCH("De acuerdo con los datos ingresados en la celda D9 por tratarse de un independiente que va a tomar costos y deducciones en su declaración de renta, no se debe diligenciar esta casilla.",G113)))</formula>
    </cfRule>
  </conditionalFormatting>
  <conditionalFormatting sqref="G134:H134 G135 G136:H150">
    <cfRule type="containsText" dxfId="2" priority="8" operator="containsText" text="De acuerdo con los datos ingresados en la celda D9 por tratarse de un independiente no se debe diligenciar esta casilla.">
      <formula>NOT(ISERROR(SEARCH("De acuerdo con los datos ingresados en la celda D9 por tratarse de un independiente no se debe diligenciar esta casilla.",G134)))</formula>
    </cfRule>
  </conditionalFormatting>
  <conditionalFormatting sqref="G170:H173">
    <cfRule type="containsText" dxfId="1" priority="7" operator="containsText" text="De acuerdo con los datos ingresados en la celda D9 por tratarse de un independiente no se debe diligenciar esta casilla.">
      <formula>NOT(ISERROR(SEARCH("De acuerdo con los datos ingresados en la celda D9 por tratarse de un independiente no se debe diligenciar esta casilla.",G170)))</formula>
    </cfRule>
  </conditionalFormatting>
  <conditionalFormatting sqref="G241:H241 G242 G254:H254">
    <cfRule type="containsText" dxfId="0" priority="21" operator="containsText" text="De acuerdo con los datos ingresados en la celda D9 por tratarse de un independiente no se debe diligenciar esta casilla.">
      <formula>NOT(ISERROR(SEARCH("De acuerdo con los datos ingresados en la celda D9 por tratarse de un independiente no se debe diligenciar esta casilla.",G241)))</formula>
    </cfRule>
  </conditionalFormatting>
  <dataValidations count="1">
    <dataValidation type="list" allowBlank="1" showInputMessage="1" showErrorMessage="1" sqref="E171" xr:uid="{6814D0E7-E295-47D6-AC8C-DA7138F27AC5}">
      <formula1>"15%,20%"</formula1>
    </dataValidation>
  </dataValidations>
  <hyperlinks>
    <hyperlink ref="B264:H264" r:id="rId1" display="Calendario tributario" xr:uid="{1BC61394-D572-4037-A801-AB354EE3DC4A}"/>
    <hyperlink ref="G181:H181" r:id="rId2" display="Descarga la herramienta para calcular el anticipo del impuesto de renta 2024" xr:uid="{7BC49168-DE00-4165-859A-4F5EB56468BB}"/>
    <hyperlink ref="G187:H187" r:id="rId3" display="Herramienta para liquidar sanción por extemporaneidad en la declaración de renta" xr:uid="{53D2F462-B4D5-4CEC-8C52-5DBB41FE5510}"/>
    <hyperlink ref="G188:H188" r:id="rId4" display="¿Cómo realizar una corrección en la declaración de renta?" xr:uid="{2493DE35-89F2-42E6-9564-037BF20BB923}"/>
    <hyperlink ref="G164:H165" r:id="rId5" display="Descuentos tributarios en renta de personas naturales a partir del año gravable 2023" xr:uid="{6C497E17-81C7-4FAC-8593-46FBDF51A5EC}"/>
    <hyperlink ref="G126:H126" r:id="rId6" display="7 respuestas esenciales para entender cómo funciona la compensación de pérdidas fiscales" xr:uid="{DFB680DF-D873-4621-85A6-C859A3D080CC}"/>
    <hyperlink ref="B267:H267" r:id="rId7" display="Crea tu cuenta" xr:uid="{86CCDA8F-2794-4500-8CD9-42184792A647}"/>
  </hyperlinks>
  <pageMargins left="0.7" right="0.7" top="0.75" bottom="0.75" header="0.3" footer="0.3"/>
  <pageSetup orientation="portrait" r:id="rId8"/>
  <ignoredErrors>
    <ignoredError sqref="I157:I159" evalError="1"/>
    <ignoredError sqref="F65" formula="1"/>
    <ignoredError sqref="D32" formulaRange="1"/>
  </ignoredErrors>
  <drawing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ED60E-4D76-4C6D-95BB-431A1F7A5A6C}">
  <dimension ref="B2:S93"/>
  <sheetViews>
    <sheetView workbookViewId="0">
      <selection activeCell="A3" sqref="A3"/>
    </sheetView>
  </sheetViews>
  <sheetFormatPr baseColWidth="10" defaultColWidth="11.453125" defaultRowHeight="15.5" x14ac:dyDescent="0.35"/>
  <cols>
    <col min="1" max="1" width="16.54296875" style="1" customWidth="1"/>
    <col min="2" max="2" width="12.08984375" style="1" customWidth="1"/>
    <col min="3" max="3" width="20.90625" style="1" customWidth="1"/>
    <col min="4" max="4" width="15.90625" style="1" customWidth="1"/>
    <col min="5" max="5" width="17.36328125" style="1" customWidth="1"/>
    <col min="6" max="6" width="11.453125" style="1"/>
    <col min="7" max="7" width="15" style="1" customWidth="1"/>
    <col min="8" max="8" width="19.54296875" style="1" customWidth="1"/>
    <col min="9" max="9" width="17.6328125" style="1" customWidth="1"/>
    <col min="10" max="10" width="9.6328125" style="1" customWidth="1"/>
    <col min="11" max="11" width="22.90625" style="1" customWidth="1"/>
    <col min="12" max="16384" width="11.453125" style="1"/>
  </cols>
  <sheetData>
    <row r="2" spans="2:13" ht="15.75" customHeight="1" x14ac:dyDescent="0.35">
      <c r="C2" s="171" t="s">
        <v>53</v>
      </c>
      <c r="D2" s="208"/>
      <c r="E2" s="208"/>
      <c r="F2" s="208"/>
      <c r="G2" s="208"/>
      <c r="H2" s="208"/>
      <c r="I2" s="208"/>
    </row>
    <row r="3" spans="2:13" ht="56.4" customHeight="1" x14ac:dyDescent="0.35">
      <c r="C3" s="208"/>
      <c r="D3" s="208"/>
      <c r="E3" s="208"/>
      <c r="F3" s="208"/>
      <c r="G3" s="208"/>
      <c r="H3" s="208"/>
      <c r="I3" s="208"/>
      <c r="K3" s="14" t="s">
        <v>331</v>
      </c>
      <c r="L3" s="9"/>
      <c r="M3" s="9"/>
    </row>
    <row r="4" spans="2:13" x14ac:dyDescent="0.35">
      <c r="C4"/>
      <c r="K4" s="9"/>
      <c r="L4" s="9"/>
      <c r="M4" s="9"/>
    </row>
    <row r="5" spans="2:13" ht="15.75" customHeight="1" x14ac:dyDescent="0.35">
      <c r="B5" s="209" t="s">
        <v>312</v>
      </c>
      <c r="C5" s="209"/>
      <c r="D5" s="209"/>
      <c r="E5" s="209"/>
      <c r="F5" s="209"/>
      <c r="G5" s="209"/>
      <c r="H5" s="209"/>
      <c r="I5" s="209"/>
      <c r="J5" s="209"/>
      <c r="K5" s="9"/>
      <c r="L5" s="9"/>
      <c r="M5" s="9"/>
    </row>
    <row r="6" spans="2:13" ht="63" customHeight="1" x14ac:dyDescent="0.35">
      <c r="B6" s="209"/>
      <c r="C6" s="209"/>
      <c r="D6" s="209"/>
      <c r="E6" s="209"/>
      <c r="F6" s="209"/>
      <c r="G6" s="209"/>
      <c r="H6" s="209"/>
      <c r="I6" s="209"/>
      <c r="J6" s="209"/>
    </row>
    <row r="7" spans="2:13" x14ac:dyDescent="0.35">
      <c r="C7" s="6"/>
      <c r="D7" s="6"/>
      <c r="E7" s="6"/>
    </row>
    <row r="8" spans="2:13" x14ac:dyDescent="0.35">
      <c r="B8" s="204" t="s">
        <v>86</v>
      </c>
      <c r="C8" s="204"/>
      <c r="D8" s="204"/>
      <c r="E8" s="204"/>
      <c r="F8" s="204"/>
      <c r="G8" s="204"/>
      <c r="H8" s="204"/>
      <c r="I8" s="204"/>
      <c r="J8" s="204"/>
    </row>
    <row r="9" spans="2:13" ht="157.75" customHeight="1" x14ac:dyDescent="0.35">
      <c r="B9" s="205" t="s">
        <v>313</v>
      </c>
      <c r="C9" s="205"/>
      <c r="D9" s="205"/>
      <c r="E9" s="205"/>
      <c r="F9" s="205"/>
      <c r="G9" s="205"/>
      <c r="H9" s="205"/>
      <c r="I9" s="205"/>
      <c r="J9" s="205"/>
    </row>
    <row r="10" spans="2:13" ht="133.75" customHeight="1" x14ac:dyDescent="0.35">
      <c r="B10" s="205"/>
      <c r="C10" s="205"/>
      <c r="D10" s="205"/>
      <c r="E10" s="205"/>
      <c r="F10" s="205"/>
      <c r="G10" s="205"/>
      <c r="H10" s="205"/>
      <c r="I10" s="205"/>
      <c r="J10" s="205"/>
    </row>
    <row r="11" spans="2:13" ht="25.25" customHeight="1" x14ac:dyDescent="0.35">
      <c r="B11" s="205"/>
      <c r="C11" s="205"/>
      <c r="D11" s="205"/>
      <c r="E11" s="205"/>
      <c r="F11" s="205"/>
      <c r="G11" s="205"/>
      <c r="H11" s="205"/>
      <c r="I11" s="205"/>
      <c r="J11" s="205"/>
    </row>
    <row r="12" spans="2:13" ht="20.399999999999999" customHeight="1" x14ac:dyDescent="0.35">
      <c r="B12" s="210" t="s">
        <v>85</v>
      </c>
      <c r="C12" s="210"/>
      <c r="D12" s="210"/>
      <c r="E12" s="210"/>
      <c r="F12" s="210"/>
      <c r="G12" s="210"/>
      <c r="H12" s="210"/>
      <c r="I12" s="210"/>
      <c r="J12" s="210"/>
    </row>
    <row r="13" spans="2:13" ht="37.25" customHeight="1" x14ac:dyDescent="0.35">
      <c r="B13" s="205" t="s">
        <v>87</v>
      </c>
      <c r="C13" s="205"/>
      <c r="D13" s="205"/>
      <c r="E13" s="205"/>
      <c r="F13" s="205"/>
      <c r="G13" s="205"/>
      <c r="H13" s="205"/>
      <c r="I13" s="205"/>
      <c r="J13" s="205"/>
    </row>
    <row r="14" spans="2:13" ht="19.25" customHeight="1" x14ac:dyDescent="0.35">
      <c r="B14" s="210" t="s">
        <v>88</v>
      </c>
      <c r="C14" s="210"/>
      <c r="D14" s="210"/>
      <c r="E14" s="210"/>
      <c r="F14" s="210"/>
      <c r="G14" s="210"/>
      <c r="H14" s="210"/>
      <c r="I14" s="210"/>
      <c r="J14" s="210"/>
    </row>
    <row r="15" spans="2:13" x14ac:dyDescent="0.35">
      <c r="C15" s="6"/>
      <c r="D15" s="6"/>
      <c r="E15" s="6"/>
    </row>
    <row r="16" spans="2:13" ht="18.649999999999999" customHeight="1" x14ac:dyDescent="0.35">
      <c r="B16" s="204" t="s">
        <v>89</v>
      </c>
      <c r="C16" s="204"/>
      <c r="D16" s="204"/>
      <c r="E16" s="204"/>
      <c r="F16" s="204"/>
      <c r="G16" s="204"/>
      <c r="H16" s="204"/>
      <c r="I16" s="204"/>
      <c r="J16" s="204"/>
    </row>
    <row r="17" spans="2:11" ht="105.65" customHeight="1" x14ac:dyDescent="0.35">
      <c r="B17" s="205" t="s">
        <v>321</v>
      </c>
      <c r="C17" s="205"/>
      <c r="D17" s="205"/>
      <c r="E17" s="205"/>
      <c r="F17" s="205"/>
      <c r="G17" s="205"/>
      <c r="H17" s="205"/>
      <c r="I17" s="205"/>
      <c r="J17" s="205"/>
    </row>
    <row r="18" spans="2:11" ht="114.65" customHeight="1" x14ac:dyDescent="0.35">
      <c r="B18" s="205"/>
      <c r="C18" s="205"/>
      <c r="D18" s="205"/>
      <c r="E18" s="205"/>
      <c r="F18" s="205"/>
      <c r="G18" s="205"/>
      <c r="H18" s="205"/>
      <c r="I18" s="205"/>
      <c r="J18" s="205"/>
    </row>
    <row r="19" spans="2:11" ht="21" customHeight="1" x14ac:dyDescent="0.35">
      <c r="B19" s="210" t="s">
        <v>94</v>
      </c>
      <c r="C19" s="210"/>
      <c r="D19" s="210"/>
      <c r="E19" s="210"/>
      <c r="F19" s="210"/>
      <c r="G19" s="210"/>
      <c r="H19" s="210"/>
      <c r="I19" s="210"/>
      <c r="J19" s="210"/>
    </row>
    <row r="20" spans="2:11" ht="16.75" customHeight="1" x14ac:dyDescent="0.35">
      <c r="C20" s="5"/>
      <c r="D20" s="5"/>
      <c r="E20" s="5"/>
    </row>
    <row r="21" spans="2:11" ht="19.75" customHeight="1" x14ac:dyDescent="0.35">
      <c r="B21" s="204" t="s">
        <v>16</v>
      </c>
      <c r="C21" s="204"/>
      <c r="D21" s="204"/>
      <c r="E21" s="204"/>
      <c r="F21" s="204"/>
      <c r="G21" s="204"/>
      <c r="H21" s="204"/>
      <c r="I21" s="204"/>
      <c r="J21" s="204"/>
    </row>
    <row r="22" spans="2:11" ht="137.4" customHeight="1" x14ac:dyDescent="0.35">
      <c r="B22" s="205" t="s">
        <v>103</v>
      </c>
      <c r="C22" s="205"/>
      <c r="D22" s="205"/>
      <c r="E22" s="205"/>
      <c r="F22" s="205"/>
      <c r="G22" s="205"/>
      <c r="H22" s="205"/>
      <c r="I22" s="205"/>
      <c r="J22" s="205"/>
    </row>
    <row r="23" spans="2:11" ht="15.65" customHeight="1" x14ac:dyDescent="0.35">
      <c r="C23" s="5"/>
      <c r="D23" s="5"/>
      <c r="E23" s="5"/>
    </row>
    <row r="24" spans="2:11" ht="15.65" customHeight="1" x14ac:dyDescent="0.35">
      <c r="B24" s="204" t="s">
        <v>97</v>
      </c>
      <c r="C24" s="204"/>
      <c r="D24" s="204"/>
      <c r="E24" s="204"/>
      <c r="F24" s="204"/>
      <c r="G24" s="204"/>
      <c r="H24" s="204"/>
      <c r="I24" s="204"/>
      <c r="J24" s="204"/>
    </row>
    <row r="25" spans="2:11" ht="111.65" customHeight="1" x14ac:dyDescent="0.35">
      <c r="B25" s="205" t="s">
        <v>98</v>
      </c>
      <c r="C25" s="205"/>
      <c r="D25" s="205"/>
      <c r="E25" s="205"/>
      <c r="F25" s="205"/>
      <c r="G25" s="205"/>
      <c r="H25" s="205"/>
      <c r="I25" s="205"/>
      <c r="J25" s="205"/>
    </row>
    <row r="26" spans="2:11" ht="15.65" customHeight="1" x14ac:dyDescent="0.35">
      <c r="C26" s="5"/>
      <c r="D26" s="5"/>
      <c r="E26" s="5"/>
    </row>
    <row r="27" spans="2:11" ht="17.399999999999999" customHeight="1" x14ac:dyDescent="0.35">
      <c r="B27" s="204" t="s">
        <v>2</v>
      </c>
      <c r="C27" s="204"/>
      <c r="D27" s="204"/>
      <c r="E27" s="204"/>
      <c r="F27" s="204"/>
      <c r="G27" s="204"/>
      <c r="H27" s="204"/>
      <c r="I27" s="204"/>
      <c r="J27" s="204"/>
    </row>
    <row r="28" spans="2:11" ht="156" customHeight="1" x14ac:dyDescent="0.35">
      <c r="B28" s="205" t="s">
        <v>322</v>
      </c>
      <c r="C28" s="205"/>
      <c r="D28" s="205"/>
      <c r="E28" s="205"/>
      <c r="F28" s="205"/>
      <c r="G28" s="205"/>
      <c r="H28" s="205"/>
      <c r="I28" s="205"/>
      <c r="J28" s="205"/>
      <c r="K28" s="13"/>
    </row>
    <row r="29" spans="2:11" ht="15.65" customHeight="1" x14ac:dyDescent="0.35"/>
    <row r="30" spans="2:11" ht="18" customHeight="1" x14ac:dyDescent="0.35">
      <c r="B30" s="206" t="s">
        <v>23</v>
      </c>
      <c r="C30" s="206"/>
      <c r="D30" s="206"/>
      <c r="E30" s="206"/>
      <c r="F30" s="206"/>
      <c r="G30" s="206"/>
      <c r="H30" s="206"/>
      <c r="I30" s="206"/>
      <c r="J30" s="206"/>
    </row>
    <row r="31" spans="2:11" ht="15.65" customHeight="1" x14ac:dyDescent="0.35"/>
    <row r="32" spans="2:11" ht="15.75" customHeight="1" x14ac:dyDescent="0.35">
      <c r="B32" s="204" t="s">
        <v>17</v>
      </c>
      <c r="C32" s="204"/>
      <c r="D32" s="204"/>
      <c r="E32" s="204"/>
      <c r="F32" s="204"/>
      <c r="G32" s="204"/>
      <c r="H32" s="204"/>
      <c r="I32" s="204"/>
      <c r="J32" s="204"/>
    </row>
    <row r="33" spans="2:19" ht="173.4" customHeight="1" x14ac:dyDescent="0.35">
      <c r="B33" s="205" t="s">
        <v>100</v>
      </c>
      <c r="C33" s="205"/>
      <c r="D33" s="205"/>
      <c r="E33" s="205"/>
      <c r="F33" s="205"/>
      <c r="G33" s="205"/>
      <c r="H33" s="205"/>
      <c r="I33" s="205"/>
      <c r="J33" s="205"/>
    </row>
    <row r="34" spans="2:19" ht="18" customHeight="1" x14ac:dyDescent="0.35"/>
    <row r="35" spans="2:19" ht="15.75" customHeight="1" x14ac:dyDescent="0.35">
      <c r="B35" s="204" t="s">
        <v>12</v>
      </c>
      <c r="C35" s="204"/>
      <c r="D35" s="204"/>
      <c r="E35" s="204"/>
      <c r="F35" s="204"/>
      <c r="G35" s="204"/>
      <c r="H35" s="204"/>
      <c r="I35" s="204"/>
      <c r="J35" s="204"/>
    </row>
    <row r="36" spans="2:19" ht="77.400000000000006" customHeight="1" x14ac:dyDescent="0.35">
      <c r="B36" s="205" t="s">
        <v>101</v>
      </c>
      <c r="C36" s="205"/>
      <c r="D36" s="205"/>
      <c r="E36" s="205"/>
      <c r="F36" s="205"/>
      <c r="G36" s="205"/>
      <c r="H36" s="205"/>
      <c r="I36" s="205"/>
      <c r="J36" s="205"/>
      <c r="K36" s="13"/>
    </row>
    <row r="37" spans="2:19" ht="18.649999999999999" customHeight="1" x14ac:dyDescent="0.35">
      <c r="B37" s="4"/>
      <c r="C37" s="4"/>
      <c r="D37" s="4"/>
      <c r="K37" s="17"/>
      <c r="L37" s="17"/>
      <c r="M37" s="17"/>
      <c r="N37" s="17"/>
      <c r="O37" s="17"/>
      <c r="P37" s="17"/>
      <c r="Q37" s="17"/>
      <c r="R37" s="17"/>
      <c r="S37" s="17"/>
    </row>
    <row r="38" spans="2:19" ht="15" customHeight="1" x14ac:dyDescent="0.35">
      <c r="B38" s="204" t="s">
        <v>13</v>
      </c>
      <c r="C38" s="204"/>
      <c r="D38" s="204"/>
      <c r="E38" s="204"/>
      <c r="F38" s="204"/>
      <c r="G38" s="204"/>
      <c r="H38" s="204"/>
      <c r="I38" s="204"/>
      <c r="J38" s="204"/>
    </row>
    <row r="39" spans="2:19" ht="105" customHeight="1" x14ac:dyDescent="0.35">
      <c r="B39" s="205" t="s">
        <v>102</v>
      </c>
      <c r="C39" s="205"/>
      <c r="D39" s="205"/>
      <c r="E39" s="205"/>
      <c r="F39" s="205"/>
      <c r="G39" s="205"/>
      <c r="H39" s="205"/>
      <c r="I39" s="205"/>
      <c r="J39" s="205"/>
    </row>
    <row r="40" spans="2:19" ht="18.649999999999999" customHeight="1" x14ac:dyDescent="0.35">
      <c r="B40" s="4"/>
    </row>
    <row r="41" spans="2:19" x14ac:dyDescent="0.35">
      <c r="B41" s="204" t="s">
        <v>18</v>
      </c>
      <c r="C41" s="204"/>
      <c r="D41" s="204"/>
      <c r="E41" s="204"/>
      <c r="F41" s="204"/>
      <c r="G41" s="204"/>
      <c r="H41" s="204"/>
      <c r="I41" s="204"/>
      <c r="J41" s="204"/>
    </row>
    <row r="42" spans="2:19" ht="51" customHeight="1" x14ac:dyDescent="0.35">
      <c r="B42" s="205" t="s">
        <v>26</v>
      </c>
      <c r="C42" s="205"/>
      <c r="D42" s="205"/>
      <c r="E42" s="205"/>
      <c r="F42" s="205"/>
      <c r="G42" s="205"/>
      <c r="H42" s="205"/>
      <c r="I42" s="205"/>
      <c r="J42" s="205"/>
    </row>
    <row r="43" spans="2:19" ht="17.399999999999999" customHeight="1" x14ac:dyDescent="0.35">
      <c r="B43" s="10"/>
      <c r="C43" s="10"/>
      <c r="D43" s="10"/>
      <c r="E43" s="10"/>
      <c r="F43" s="10"/>
      <c r="G43" s="10"/>
      <c r="H43" s="10"/>
      <c r="I43" s="10"/>
      <c r="J43" s="10"/>
    </row>
    <row r="44" spans="2:19" ht="15.75" customHeight="1" x14ac:dyDescent="0.35">
      <c r="B44" s="206" t="s">
        <v>4</v>
      </c>
      <c r="C44" s="206"/>
      <c r="D44" s="206"/>
      <c r="E44" s="206"/>
      <c r="F44" s="206"/>
      <c r="G44" s="206"/>
      <c r="H44" s="206"/>
      <c r="I44" s="206"/>
      <c r="J44" s="206"/>
    </row>
    <row r="45" spans="2:19" ht="15.75" customHeight="1" x14ac:dyDescent="0.35"/>
    <row r="46" spans="2:19" ht="15.75" customHeight="1" x14ac:dyDescent="0.35">
      <c r="B46" s="204" t="s">
        <v>21</v>
      </c>
      <c r="C46" s="204"/>
      <c r="D46" s="204"/>
      <c r="E46" s="204"/>
      <c r="F46" s="204"/>
      <c r="G46" s="204"/>
      <c r="H46" s="204"/>
      <c r="I46" s="204"/>
      <c r="J46" s="204"/>
    </row>
    <row r="47" spans="2:19" ht="105" customHeight="1" x14ac:dyDescent="0.35">
      <c r="B47" s="205" t="s">
        <v>106</v>
      </c>
      <c r="C47" s="205"/>
      <c r="D47" s="205"/>
      <c r="E47" s="205"/>
      <c r="F47" s="205"/>
      <c r="G47" s="205"/>
      <c r="H47" s="205"/>
      <c r="I47" s="205"/>
      <c r="J47" s="205"/>
    </row>
    <row r="49" spans="2:10" ht="15" customHeight="1" x14ac:dyDescent="0.35">
      <c r="B49" s="204" t="s">
        <v>317</v>
      </c>
      <c r="C49" s="204"/>
      <c r="D49" s="204"/>
      <c r="E49" s="204"/>
      <c r="F49" s="204"/>
      <c r="G49" s="204"/>
      <c r="H49" s="204"/>
      <c r="I49" s="204"/>
      <c r="J49" s="204"/>
    </row>
    <row r="50" spans="2:10" ht="110.4" customHeight="1" x14ac:dyDescent="0.35">
      <c r="B50" s="205" t="s">
        <v>104</v>
      </c>
      <c r="C50" s="205"/>
      <c r="D50" s="205"/>
      <c r="E50" s="205"/>
      <c r="F50" s="205"/>
      <c r="G50" s="205"/>
      <c r="H50" s="205"/>
      <c r="I50" s="205"/>
      <c r="J50" s="205"/>
    </row>
    <row r="51" spans="2:10" ht="13.25" customHeight="1" x14ac:dyDescent="0.35">
      <c r="B51" s="32"/>
      <c r="C51" s="32"/>
      <c r="D51" s="32"/>
      <c r="E51" s="32"/>
      <c r="F51" s="32"/>
      <c r="G51" s="32"/>
      <c r="H51" s="32"/>
      <c r="I51" s="32"/>
      <c r="J51" s="32"/>
    </row>
    <row r="52" spans="2:10" ht="14.4" customHeight="1" x14ac:dyDescent="0.35">
      <c r="B52" s="204" t="s">
        <v>43</v>
      </c>
      <c r="C52" s="204"/>
      <c r="D52" s="204"/>
      <c r="E52" s="204"/>
      <c r="F52" s="204"/>
      <c r="G52" s="204"/>
      <c r="H52" s="204"/>
      <c r="I52" s="204"/>
      <c r="J52" s="204"/>
    </row>
    <row r="53" spans="2:10" ht="96.65" customHeight="1" x14ac:dyDescent="0.35">
      <c r="B53" s="205" t="s">
        <v>105</v>
      </c>
      <c r="C53" s="205"/>
      <c r="D53" s="205"/>
      <c r="E53" s="205"/>
      <c r="F53" s="205"/>
      <c r="G53" s="205"/>
      <c r="H53" s="205"/>
      <c r="I53" s="205"/>
      <c r="J53" s="205"/>
    </row>
    <row r="54" spans="2:10" ht="117" customHeight="1" x14ac:dyDescent="0.35">
      <c r="B54" s="205"/>
      <c r="C54" s="205"/>
      <c r="D54" s="205"/>
      <c r="E54" s="205"/>
      <c r="F54" s="205"/>
      <c r="G54" s="205"/>
      <c r="H54" s="205"/>
      <c r="I54" s="205"/>
      <c r="J54" s="205"/>
    </row>
    <row r="55" spans="2:10" ht="15" customHeight="1" x14ac:dyDescent="0.35">
      <c r="B55" s="32"/>
      <c r="C55" s="32"/>
      <c r="D55" s="32"/>
      <c r="E55" s="32"/>
      <c r="F55" s="32"/>
      <c r="G55" s="32"/>
      <c r="H55" s="32"/>
      <c r="I55" s="32"/>
      <c r="J55" s="32"/>
    </row>
    <row r="56" spans="2:10" x14ac:dyDescent="0.35">
      <c r="B56" s="204" t="s">
        <v>32</v>
      </c>
      <c r="C56" s="204"/>
      <c r="D56" s="204"/>
      <c r="E56" s="204"/>
      <c r="F56" s="204"/>
      <c r="G56" s="204"/>
      <c r="H56" s="204"/>
      <c r="I56" s="204"/>
      <c r="J56" s="204"/>
    </row>
    <row r="57" spans="2:10" ht="52.25" customHeight="1" x14ac:dyDescent="0.35">
      <c r="B57" s="205" t="s">
        <v>116</v>
      </c>
      <c r="C57" s="205"/>
      <c r="D57" s="205"/>
      <c r="E57" s="205"/>
      <c r="F57" s="205"/>
      <c r="G57" s="205"/>
      <c r="H57" s="205"/>
      <c r="I57" s="205"/>
      <c r="J57" s="205"/>
    </row>
    <row r="58" spans="2:10" x14ac:dyDescent="0.35">
      <c r="B58" s="4"/>
      <c r="C58" s="4"/>
      <c r="D58" s="4"/>
    </row>
    <row r="59" spans="2:10" x14ac:dyDescent="0.35">
      <c r="B59" s="204" t="s">
        <v>42</v>
      </c>
      <c r="C59" s="204"/>
      <c r="D59" s="204"/>
      <c r="E59" s="204"/>
      <c r="F59" s="204"/>
      <c r="G59" s="204"/>
      <c r="H59" s="204"/>
      <c r="I59" s="204"/>
      <c r="J59" s="204"/>
    </row>
    <row r="60" spans="2:10" ht="184.75" customHeight="1" x14ac:dyDescent="0.35">
      <c r="B60" s="205" t="s">
        <v>248</v>
      </c>
      <c r="C60" s="205"/>
      <c r="D60" s="205"/>
      <c r="E60" s="205"/>
      <c r="F60" s="205"/>
      <c r="G60" s="205"/>
      <c r="H60" s="205"/>
      <c r="I60" s="205"/>
      <c r="J60" s="205"/>
    </row>
    <row r="61" spans="2:10" ht="17.399999999999999" customHeight="1" x14ac:dyDescent="0.35">
      <c r="C61" s="4"/>
      <c r="D61" s="4"/>
      <c r="E61" s="4"/>
    </row>
    <row r="62" spans="2:10" ht="17.399999999999999" customHeight="1" x14ac:dyDescent="0.35">
      <c r="B62" s="204" t="s">
        <v>108</v>
      </c>
      <c r="C62" s="204"/>
      <c r="D62" s="204"/>
      <c r="E62" s="204"/>
      <c r="F62" s="204"/>
      <c r="G62" s="204"/>
      <c r="H62" s="204"/>
      <c r="I62" s="204"/>
      <c r="J62" s="204"/>
    </row>
    <row r="63" spans="2:10" ht="98.4" customHeight="1" x14ac:dyDescent="0.35">
      <c r="B63" s="205" t="s">
        <v>109</v>
      </c>
      <c r="C63" s="205"/>
      <c r="D63" s="205"/>
      <c r="E63" s="205"/>
      <c r="F63" s="205"/>
      <c r="G63" s="205"/>
      <c r="H63" s="205"/>
      <c r="I63" s="205"/>
      <c r="J63" s="205"/>
    </row>
    <row r="64" spans="2:10" ht="17.399999999999999" customHeight="1" x14ac:dyDescent="0.35">
      <c r="C64" s="4"/>
      <c r="D64" s="4"/>
      <c r="E64" s="4"/>
    </row>
    <row r="65" spans="2:11" ht="17.399999999999999" customHeight="1" x14ac:dyDescent="0.35">
      <c r="B65" s="206" t="s">
        <v>19</v>
      </c>
      <c r="C65" s="206"/>
      <c r="D65" s="206"/>
      <c r="E65" s="206"/>
      <c r="F65" s="206"/>
      <c r="G65" s="206"/>
      <c r="H65" s="206"/>
      <c r="I65" s="206"/>
      <c r="J65" s="206"/>
    </row>
    <row r="66" spans="2:11" ht="17.399999999999999" customHeight="1" x14ac:dyDescent="0.35">
      <c r="C66" s="4"/>
      <c r="D66" s="4"/>
      <c r="E66" s="4"/>
    </row>
    <row r="67" spans="2:11" ht="17.399999999999999" customHeight="1" x14ac:dyDescent="0.35">
      <c r="B67" s="204" t="s">
        <v>314</v>
      </c>
      <c r="C67" s="204"/>
      <c r="D67" s="204"/>
      <c r="E67" s="204"/>
      <c r="F67" s="204"/>
      <c r="G67" s="204"/>
      <c r="H67" s="204"/>
      <c r="I67" s="204"/>
      <c r="J67" s="204"/>
    </row>
    <row r="68" spans="2:11" ht="159" customHeight="1" x14ac:dyDescent="0.35">
      <c r="B68" s="205" t="s">
        <v>315</v>
      </c>
      <c r="C68" s="205"/>
      <c r="D68" s="205"/>
      <c r="E68" s="205"/>
      <c r="F68" s="205"/>
      <c r="G68" s="205"/>
      <c r="H68" s="205"/>
      <c r="I68" s="205"/>
      <c r="J68" s="205"/>
    </row>
    <row r="69" spans="2:11" ht="17.399999999999999" customHeight="1" x14ac:dyDescent="0.35">
      <c r="C69" s="4"/>
      <c r="D69" s="4"/>
      <c r="E69" s="4"/>
    </row>
    <row r="70" spans="2:11" ht="15.75" customHeight="1" x14ac:dyDescent="0.35">
      <c r="B70" s="204" t="s">
        <v>25</v>
      </c>
      <c r="C70" s="204"/>
      <c r="D70" s="204"/>
      <c r="E70" s="204"/>
      <c r="F70" s="204"/>
      <c r="G70" s="204"/>
      <c r="H70" s="204"/>
      <c r="I70" s="204"/>
      <c r="J70" s="204"/>
    </row>
    <row r="71" spans="2:11" ht="102.65" customHeight="1" x14ac:dyDescent="0.35">
      <c r="B71" s="205" t="s">
        <v>110</v>
      </c>
      <c r="C71" s="205"/>
      <c r="D71" s="205"/>
      <c r="E71" s="205"/>
      <c r="F71" s="205"/>
      <c r="G71" s="205"/>
      <c r="H71" s="205"/>
      <c r="I71" s="205"/>
      <c r="J71" s="205"/>
    </row>
    <row r="72" spans="2:11" ht="15.75" customHeight="1" x14ac:dyDescent="0.35"/>
    <row r="73" spans="2:11" ht="15" customHeight="1" x14ac:dyDescent="0.35">
      <c r="B73" s="204" t="s">
        <v>24</v>
      </c>
      <c r="C73" s="204"/>
      <c r="D73" s="204"/>
      <c r="E73" s="204"/>
      <c r="F73" s="204"/>
      <c r="G73" s="204"/>
      <c r="H73" s="204"/>
      <c r="I73" s="204"/>
      <c r="J73" s="204"/>
    </row>
    <row r="74" spans="2:11" ht="220.75" customHeight="1" x14ac:dyDescent="0.35">
      <c r="B74" s="205" t="s">
        <v>114</v>
      </c>
      <c r="C74" s="205"/>
      <c r="D74" s="205"/>
      <c r="E74" s="205"/>
      <c r="F74" s="205"/>
      <c r="G74" s="205"/>
      <c r="H74" s="205"/>
      <c r="I74" s="205"/>
      <c r="J74" s="205"/>
    </row>
    <row r="75" spans="2:11" ht="23.4" customHeight="1" x14ac:dyDescent="0.35">
      <c r="B75" s="207" t="s">
        <v>84</v>
      </c>
      <c r="C75" s="207"/>
      <c r="D75" s="207"/>
      <c r="E75" s="207"/>
      <c r="F75" s="207"/>
      <c r="G75" s="207"/>
      <c r="H75" s="207"/>
      <c r="I75" s="207"/>
      <c r="J75" s="207"/>
    </row>
    <row r="77" spans="2:11" ht="15.75" customHeight="1" x14ac:dyDescent="0.35">
      <c r="B77" s="204" t="s">
        <v>22</v>
      </c>
      <c r="C77" s="204"/>
      <c r="D77" s="204"/>
      <c r="E77" s="204"/>
      <c r="F77" s="204"/>
      <c r="G77" s="204"/>
      <c r="H77" s="204"/>
      <c r="I77" s="204"/>
      <c r="J77" s="204"/>
    </row>
    <row r="78" spans="2:11" ht="60" customHeight="1" x14ac:dyDescent="0.35">
      <c r="B78" s="205" t="s">
        <v>113</v>
      </c>
      <c r="C78" s="205"/>
      <c r="D78" s="205"/>
      <c r="E78" s="205"/>
      <c r="F78" s="205"/>
      <c r="G78" s="205"/>
      <c r="H78" s="205"/>
      <c r="I78" s="205"/>
      <c r="J78" s="205"/>
      <c r="K78" s="13"/>
    </row>
    <row r="80" spans="2:11" ht="15.75" customHeight="1" x14ac:dyDescent="0.35">
      <c r="B80" s="204" t="s">
        <v>111</v>
      </c>
      <c r="C80" s="204"/>
      <c r="D80" s="204"/>
      <c r="E80" s="204"/>
      <c r="F80" s="204"/>
      <c r="G80" s="204"/>
      <c r="H80" s="204"/>
      <c r="I80" s="204"/>
      <c r="J80" s="204"/>
    </row>
    <row r="81" spans="2:11" ht="60" customHeight="1" x14ac:dyDescent="0.35">
      <c r="B81" s="205" t="s">
        <v>115</v>
      </c>
      <c r="C81" s="205"/>
      <c r="D81" s="205"/>
      <c r="E81" s="205"/>
      <c r="F81" s="205"/>
      <c r="G81" s="205"/>
      <c r="H81" s="205"/>
      <c r="I81" s="205"/>
      <c r="J81" s="205"/>
      <c r="K81" s="13"/>
    </row>
    <row r="83" spans="2:11" ht="21" customHeight="1" x14ac:dyDescent="0.35">
      <c r="B83" s="204" t="s">
        <v>112</v>
      </c>
      <c r="C83" s="204"/>
      <c r="D83" s="204"/>
      <c r="E83" s="204"/>
      <c r="F83" s="204"/>
      <c r="G83" s="204"/>
      <c r="H83" s="204"/>
      <c r="I83" s="204"/>
      <c r="J83" s="204"/>
    </row>
    <row r="84" spans="2:11" ht="60" customHeight="1" x14ac:dyDescent="0.35">
      <c r="B84" s="205" t="s">
        <v>131</v>
      </c>
      <c r="C84" s="205"/>
      <c r="D84" s="205"/>
      <c r="E84" s="205"/>
      <c r="F84" s="205"/>
      <c r="G84" s="205"/>
      <c r="H84" s="205"/>
      <c r="I84" s="205"/>
      <c r="J84" s="205"/>
      <c r="K84" s="13"/>
    </row>
    <row r="86" spans="2:11" x14ac:dyDescent="0.35">
      <c r="B86" s="204" t="s">
        <v>324</v>
      </c>
      <c r="C86" s="204"/>
      <c r="D86" s="204"/>
      <c r="E86" s="204"/>
      <c r="F86" s="204"/>
      <c r="G86" s="204"/>
      <c r="H86" s="204"/>
      <c r="I86" s="204"/>
      <c r="J86" s="204"/>
    </row>
    <row r="87" spans="2:11" ht="186" customHeight="1" x14ac:dyDescent="0.35">
      <c r="B87" s="205" t="s">
        <v>323</v>
      </c>
      <c r="C87" s="205"/>
      <c r="D87" s="205"/>
      <c r="E87" s="205"/>
      <c r="F87" s="205"/>
      <c r="G87" s="205"/>
      <c r="H87" s="205"/>
      <c r="I87" s="205"/>
      <c r="J87" s="205"/>
      <c r="K87" s="13"/>
    </row>
    <row r="90" spans="2:11" ht="15" customHeight="1" x14ac:dyDescent="0.35">
      <c r="B90" s="139" t="s">
        <v>27</v>
      </c>
      <c r="C90" s="139"/>
      <c r="D90" s="139"/>
      <c r="E90" s="139"/>
      <c r="F90" s="139"/>
      <c r="G90" s="139"/>
      <c r="H90" s="139"/>
      <c r="I90" s="139"/>
      <c r="J90" s="139"/>
    </row>
    <row r="91" spans="2:11" ht="28.5" customHeight="1" x14ac:dyDescent="0.35">
      <c r="B91" s="139"/>
      <c r="C91" s="139"/>
      <c r="D91" s="139"/>
      <c r="E91" s="139"/>
      <c r="F91" s="139"/>
      <c r="G91" s="139"/>
      <c r="H91" s="139"/>
      <c r="I91" s="139"/>
      <c r="J91" s="139"/>
    </row>
    <row r="92" spans="2:11" x14ac:dyDescent="0.35">
      <c r="B92" s="139"/>
      <c r="C92" s="139"/>
      <c r="D92" s="139"/>
      <c r="E92" s="139"/>
      <c r="F92" s="139"/>
      <c r="G92" s="139"/>
      <c r="H92" s="139"/>
      <c r="I92" s="139"/>
      <c r="J92" s="139"/>
    </row>
    <row r="93" spans="2:11" x14ac:dyDescent="0.35">
      <c r="B93" s="139"/>
      <c r="C93" s="139"/>
      <c r="D93" s="139"/>
      <c r="E93" s="139"/>
      <c r="F93" s="139"/>
      <c r="G93" s="139"/>
      <c r="H93" s="139"/>
      <c r="I93" s="139"/>
      <c r="J93" s="139"/>
    </row>
  </sheetData>
  <mergeCells count="55">
    <mergeCell ref="B9:J11"/>
    <mergeCell ref="B19:J19"/>
    <mergeCell ref="B17:J18"/>
    <mergeCell ref="B62:J62"/>
    <mergeCell ref="B63:J63"/>
    <mergeCell ref="B22:J22"/>
    <mergeCell ref="B28:J28"/>
    <mergeCell ref="B32:J32"/>
    <mergeCell ref="C2:I3"/>
    <mergeCell ref="B5:J6"/>
    <mergeCell ref="B78:J78"/>
    <mergeCell ref="B46:J46"/>
    <mergeCell ref="B47:J47"/>
    <mergeCell ref="B38:J38"/>
    <mergeCell ref="B39:J39"/>
    <mergeCell ref="B13:J13"/>
    <mergeCell ref="B14:J14"/>
    <mergeCell ref="B27:J27"/>
    <mergeCell ref="B71:J71"/>
    <mergeCell ref="B70:J70"/>
    <mergeCell ref="B8:J8"/>
    <mergeCell ref="B12:J12"/>
    <mergeCell ref="B16:J16"/>
    <mergeCell ref="B21:J21"/>
    <mergeCell ref="B90:J93"/>
    <mergeCell ref="B49:J49"/>
    <mergeCell ref="B50:J50"/>
    <mergeCell ref="B86:J86"/>
    <mergeCell ref="B87:J87"/>
    <mergeCell ref="B56:J56"/>
    <mergeCell ref="B57:J57"/>
    <mergeCell ref="B60:J60"/>
    <mergeCell ref="B53:J54"/>
    <mergeCell ref="B73:J73"/>
    <mergeCell ref="B74:J74"/>
    <mergeCell ref="B75:J75"/>
    <mergeCell ref="B80:J80"/>
    <mergeCell ref="B81:J81"/>
    <mergeCell ref="B83:J83"/>
    <mergeCell ref="B84:J84"/>
    <mergeCell ref="B77:J77"/>
    <mergeCell ref="B52:J52"/>
    <mergeCell ref="B42:J42"/>
    <mergeCell ref="B24:J24"/>
    <mergeCell ref="B25:J25"/>
    <mergeCell ref="B30:J30"/>
    <mergeCell ref="B65:J65"/>
    <mergeCell ref="B33:J33"/>
    <mergeCell ref="B35:J35"/>
    <mergeCell ref="B36:J36"/>
    <mergeCell ref="B41:J41"/>
    <mergeCell ref="B59:J59"/>
    <mergeCell ref="B44:J44"/>
    <mergeCell ref="B67:J67"/>
    <mergeCell ref="B68:J68"/>
  </mergeCells>
  <hyperlinks>
    <hyperlink ref="B12:J12" r:id="rId1" display="Formulario 210 para año gravable 2023 fue prescrito por la Dian" xr:uid="{D8C788E2-18BD-4737-A399-B8197C73B382}"/>
    <hyperlink ref="B14:J14" r:id="rId2" display="Guía para la elaboración de la declaración de renta de personas naturales año gravable 2023" xr:uid="{27243AAE-91E5-4742-B2A0-C5B96A39E108}"/>
    <hyperlink ref="B19:J19" r:id="rId3" display="Tratamiento de las cesantías e intereses de cesantías en la declaración de renta de una persona natural" xr:uid="{FC886258-6779-471A-843E-3A0F6E9B8D15}"/>
    <hyperlink ref="B75:J75" r:id="rId4" display="Deducción por dependientes en la declaración de renta: ¿cómo funciona y cuáles son las novedades?" xr:uid="{9550CE50-EDDC-4BA1-AE93-0D8AB5C819FD}"/>
  </hyperlinks>
  <pageMargins left="0.7" right="0.7" top="0.75" bottom="0.75" header="0.3" footer="0.3"/>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Te damos la bienvenida a Alegra</vt:lpstr>
      <vt:lpstr>Explora Siempre Al Día</vt:lpstr>
      <vt:lpstr>Caso DRPN 2023 asalariados</vt:lpstr>
      <vt:lpstr>Contexto y normativa DRPN 2023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Cadavid</dc:creator>
  <cp:lastModifiedBy>Diana Cadavid</cp:lastModifiedBy>
  <dcterms:created xsi:type="dcterms:W3CDTF">2024-01-04T20:24:53Z</dcterms:created>
  <dcterms:modified xsi:type="dcterms:W3CDTF">2024-09-03T17:17:11Z</dcterms:modified>
</cp:coreProperties>
</file>